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rmbbh/gKaT7KWtVgikwW7rJaF+8bLe96bm0C3WTL6t56ikKpgQBQw/pYhJlDHUqwb3GZvKULX+xZUPmfLKhmg==" workbookSaltValue="grx1AQgX7JZRBc9ZUVkw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BD12" i="8" s="1"/>
  <c r="H12" i="7"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P13" i="17"/>
  <c r="BF17" i="8"/>
  <c r="AB19" i="19"/>
  <c r="E18" i="12"/>
  <c r="ER19" i="8"/>
  <c r="EL19" i="8"/>
  <c r="AC11" i="11"/>
  <c r="EQ19" i="8"/>
  <c r="AP12" i="11"/>
  <c r="Y11" i="11"/>
  <c r="AT18" i="17"/>
  <c r="N10" i="11"/>
  <c r="N9" i="11"/>
  <c r="T10" i="21"/>
  <c r="N11" i="11"/>
  <c r="ES19" i="8"/>
  <c r="C18" i="7"/>
  <c r="S19" i="13"/>
  <c r="AG19" i="19"/>
  <c r="F9" i="11"/>
  <c r="CI19" i="8"/>
  <c r="AE19" i="8"/>
  <c r="F17" i="16"/>
  <c r="BL17" i="16" s="1"/>
  <c r="EP19" i="8"/>
  <c r="ER19" i="13"/>
  <c r="AL13" i="16"/>
  <c r="S13" i="16"/>
  <c r="H18" i="16"/>
  <c r="P13" i="16"/>
  <c r="AN13" i="20"/>
  <c r="F17" i="17"/>
  <c r="AQ17" i="17" s="1"/>
  <c r="E11" i="6"/>
  <c r="AC10" i="11"/>
  <c r="H13" i="12"/>
  <c r="T19" i="8"/>
  <c r="T13" i="12"/>
  <c r="BF15" i="8"/>
  <c r="BD9" i="8"/>
  <c r="AV18" i="17"/>
  <c r="J18" i="17"/>
  <c r="T13" i="16"/>
  <c r="AP13" i="16"/>
  <c r="F11" i="11"/>
  <c r="AQ11" i="11" s="1"/>
  <c r="BG15" i="13"/>
  <c r="BF16" i="13"/>
  <c r="J20" i="20"/>
  <c r="AL20" i="20"/>
  <c r="AN20" i="20"/>
  <c r="AK20" i="20"/>
  <c r="AM20" i="20"/>
  <c r="AJ20" i="20"/>
  <c r="F20" i="20"/>
  <c r="G18" i="14"/>
  <c r="AC20" i="20"/>
  <c r="AP20" i="20"/>
  <c r="AF20" i="20"/>
  <c r="S20" i="20"/>
  <c r="AQ20" i="21"/>
  <c r="K20" i="20"/>
  <c r="AE20" i="20"/>
  <c r="E20" i="20"/>
  <c r="U16" i="11"/>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Q20" i="20"/>
  <c r="AZ20" i="20"/>
  <c r="AB20" i="20"/>
  <c r="U10" i="11"/>
  <c r="AM19" i="8" l="1"/>
  <c r="Y19" i="8"/>
  <c r="AW18" i="21"/>
  <c r="AB19" i="8"/>
  <c r="Z19" i="8"/>
  <c r="BG10" i="8"/>
  <c r="AO9" i="11"/>
  <c r="L12" i="14"/>
  <c r="C10" i="6"/>
  <c r="C11" i="6"/>
  <c r="AO17" i="11"/>
  <c r="H15" i="2"/>
  <c r="N13" i="2"/>
  <c r="B12" i="6"/>
  <c r="M18" i="2"/>
  <c r="M19" i="2" s="1"/>
  <c r="N18" i="2"/>
  <c r="H12" i="2"/>
  <c r="F9" i="2"/>
  <c r="V10" i="21"/>
  <c r="AO12" i="11"/>
  <c r="C17" i="6"/>
  <c r="AO16" i="11"/>
  <c r="AL10" i="11"/>
  <c r="S16" i="14"/>
  <c r="V16" i="14" s="1"/>
  <c r="BE9" i="8"/>
  <c r="AY13" i="8"/>
  <c r="AL11" i="11"/>
  <c r="B9" i="6"/>
  <c r="AO12" i="17"/>
  <c r="B17" i="6"/>
  <c r="B16" i="6"/>
  <c r="R8" i="9"/>
  <c r="AY13" i="13"/>
  <c r="BE9" i="13"/>
  <c r="AZ13" i="13"/>
  <c r="BD13" i="13" s="1"/>
  <c r="BB13" i="13"/>
  <c r="F15" i="17"/>
  <c r="AZ18" i="13"/>
  <c r="BD16" i="13"/>
  <c r="BE15" i="13"/>
  <c r="BA18" i="13"/>
  <c r="BF18" i="13" s="1"/>
  <c r="BG15" i="8"/>
  <c r="E15" i="6"/>
  <c r="K15" i="12" s="1"/>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I17" i="12" l="1"/>
  <c r="K16" i="12"/>
  <c r="D19" i="12"/>
  <c r="AI19" i="11"/>
  <c r="B19" i="7"/>
  <c r="V13" i="21"/>
  <c r="V19" i="21" s="1"/>
  <c r="D19" i="5"/>
  <c r="K10" i="12"/>
  <c r="I10" i="12"/>
  <c r="N19" i="2"/>
  <c r="H13" i="2"/>
  <c r="B18" i="6"/>
  <c r="AM13" i="11"/>
  <c r="I15" i="12"/>
  <c r="S18" i="14"/>
  <c r="Q19" i="20"/>
  <c r="X13" i="16"/>
  <c r="AL18" i="11"/>
  <c r="BW21" i="20"/>
  <c r="P12" i="11"/>
  <c r="BK13" i="11"/>
  <c r="BK19" i="11" s="1"/>
  <c r="BH18" i="11"/>
  <c r="T18" i="16"/>
  <c r="T19" i="16" s="1"/>
  <c r="P16" i="11"/>
  <c r="BF11" i="11"/>
  <c r="P17" i="17"/>
  <c r="P18" i="17" s="1"/>
  <c r="P19" i="17" s="1"/>
  <c r="BM12" i="11"/>
  <c r="R17" i="20"/>
  <c r="BV12" i="16"/>
  <c r="BV13" i="16" s="1"/>
  <c r="AA16" i="16"/>
  <c r="BI9" i="11"/>
  <c r="BH12" i="16"/>
  <c r="BL9" i="11"/>
  <c r="BK9" i="11"/>
  <c r="BJ15" i="11"/>
  <c r="BJ18" i="11" s="1"/>
  <c r="AZ15" i="11"/>
  <c r="AZ18" i="11" s="1"/>
  <c r="U10" i="17"/>
  <c r="T16" i="11"/>
  <c r="BH11" i="11"/>
  <c r="R16" i="14"/>
  <c r="S12" i="14"/>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2" i="14" l="1"/>
  <c r="V13" i="14" s="1"/>
  <c r="V19" i="14" s="1"/>
  <c r="S13" i="14"/>
  <c r="S19" i="14" s="1"/>
  <c r="Q9" i="11"/>
  <c r="P9" i="11"/>
  <c r="R18" i="20"/>
  <c r="R19" i="20"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J20" i="21"/>
  <c r="X20" i="17"/>
  <c r="J20" i="12"/>
  <c r="K20" i="11"/>
  <c r="BJ20" i="16"/>
  <c r="U20" i="20"/>
  <c r="AD20" i="21"/>
  <c r="L20" i="11"/>
  <c r="AP20" i="16"/>
  <c r="AE20" i="21"/>
  <c r="V20" i="20"/>
  <c r="X20" i="16"/>
  <c r="AL20" i="11"/>
  <c r="AM20" i="21"/>
  <c r="G20" i="12"/>
  <c r="Q20" i="17"/>
  <c r="R20" i="16"/>
  <c r="AO20" i="11"/>
  <c r="N20" i="17"/>
  <c r="AC20" i="17"/>
  <c r="AK20" i="11"/>
  <c r="O20" i="11"/>
  <c r="H20" i="12"/>
  <c r="AU20" i="21"/>
  <c r="H20" i="16"/>
  <c r="AK20" i="17"/>
  <c r="AT20" i="20"/>
  <c r="I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B20" i="17"/>
  <c r="W20" i="11"/>
  <c r="BK20" i="16"/>
  <c r="BD20" i="16"/>
  <c r="R20" i="21"/>
  <c r="BI20" i="16"/>
  <c r="J20" i="16"/>
  <c r="T20" i="11"/>
  <c r="AG20" i="11"/>
  <c r="L20" i="17"/>
  <c r="M20" i="16"/>
  <c r="AP20" i="17"/>
  <c r="I20" i="11"/>
  <c r="AT20" i="11"/>
  <c r="AV20" i="17"/>
  <c r="AR20" i="17"/>
  <c r="AW20" i="17"/>
  <c r="BN20" i="16"/>
  <c r="BB20" i="16"/>
  <c r="AN20" i="17"/>
  <c r="Q20" i="21"/>
  <c r="P20" i="21"/>
  <c r="BS20" i="16"/>
  <c r="N20" i="21"/>
  <c r="AO20" i="17"/>
  <c r="S20" i="17"/>
  <c r="AW20" i="16"/>
  <c r="AP20" i="21"/>
  <c r="AU20" i="11"/>
  <c r="BF20" i="16"/>
  <c r="AA20" i="21"/>
  <c r="F20" i="17"/>
  <c r="AC20" i="11"/>
  <c r="AA20" i="17"/>
  <c r="BM20" i="16"/>
  <c r="O12" i="11"/>
  <c r="I20" i="12"/>
  <c r="BD19" i="8" l="1"/>
  <c r="AP20" i="11"/>
  <c r="AT20" i="21"/>
  <c r="AQ20" i="17"/>
  <c r="BL20" i="16"/>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<sst xmlns="http://schemas.openxmlformats.org/spreadsheetml/2006/main" count="2102" uniqueCount="918">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</sst>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HCmGv4gKzWVpgmBgmav/8/jsTrqYO1fBWMjAoArmiRjkGoUV0BAK/5CaWvgMgiimYJKTdmYWHupltI45rjQQ==" saltValue="xio4+MOWXKTKKnOL26Ws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91</v>
      </c>
      <c r="D10" s="224">
        <f>IF(ISNUMBER(Datos!I10),Datos!I10," - ")</f>
        <v>91</v>
      </c>
      <c r="E10" s="225">
        <f>IF(ISNUMBER(Datos!J10),Datos!J10," - ")</f>
        <v>26</v>
      </c>
      <c r="F10" s="225">
        <f>IF(ISNUMBER(Datos!K10),Datos!K10," - ")</f>
        <v>25</v>
      </c>
      <c r="G10" s="1033" t="str">
        <f>IF(Datos!E10&lt;&gt;"",Datos!E10,Datos!D10)</f>
        <v>37</v>
      </c>
      <c r="H10" s="226">
        <f>IF(ISNUMBER(Datos!L10),Datos!L10," - ")</f>
        <v>92</v>
      </c>
      <c r="I10" s="1043" t="str">
        <f>IF(ISNUMBER(Datos!AS10/Datos!BM10),Datos!AS10/Datos!BM10," - ")</f>
        <v xml:space="preserve"> - </v>
      </c>
      <c r="J10" s="1044">
        <f>IF(ISNUMBER(Datos!BY10/Datos!CN10),Datos!BY10/Datos!CN10," - ")</f>
        <v>0</v>
      </c>
      <c r="K10" s="229">
        <f t="shared" ref="K10:K12" si="1">IF(ISNUMBER((E10-F10)/C10),(E10-F10)/C10," - ")</f>
        <v>1.098901098901099E-2</v>
      </c>
      <c r="L10" s="1024">
        <f>IF(ISNUMBER(NºAsuntos!I10/NºAsuntos!G10),(NºAsuntos!I10/NºAsuntos!G10)*11," - ")</f>
        <v>40.480000000000004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96.47259929612872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91</v>
      </c>
      <c r="D13" s="1048">
        <f>SUBTOTAL(9,D9:D12)</f>
        <v>91</v>
      </c>
      <c r="E13" s="1049">
        <f>SUBTOTAL(9,E9:E12)</f>
        <v>26</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4403</v>
      </c>
      <c r="D16" s="224">
        <f>IF(ISNUMBER(IF(D_I="SI",Datos!I16,Datos!I16+Datos!AC16)),IF(D_I="SI",Datos!I16,Datos!I16+Datos!AC16)," - ")</f>
        <v>4972</v>
      </c>
      <c r="E16" s="225">
        <f>IF(ISNUMBER(IF(D_I="SI",Datos!J16,Datos!J16+Datos!AD16)),IF(D_I="SI",Datos!J16,Datos!J16+Datos!AD16)," - ")</f>
        <v>2113</v>
      </c>
      <c r="F16" s="225">
        <f>IF(ISNUMBER(IF(D_I="SI",Datos!K16,Datos!K16+Datos!AE16)),IF(D_I="SI",Datos!K16,Datos!K16+Datos!AE16)," - ")</f>
        <v>1750</v>
      </c>
      <c r="G16" s="1033" t="str">
        <f>IF(Datos!E16&lt;&gt;"",Datos!E16,Datos!D16)</f>
        <v>04</v>
      </c>
      <c r="H16" s="226">
        <f>IF(ISNUMBER(IF(D_I="SI",Datos!L16,Datos!L16+Datos!AF16)),IF(D_I="SI",Datos!L16,Datos!L16+Datos!AF16)," - ")</f>
        <v>4766</v>
      </c>
      <c r="I16" s="1043" t="str">
        <f>IF(ISNUMBER(Datos!AS16/Datos!BM16),Datos!AS16/Datos!BM16," - ")</f>
        <v xml:space="preserve"> - </v>
      </c>
      <c r="J16" s="1044">
        <f>IF(ISNUMBER(Datos!BY16/Datos!CN16),Datos!BY16/Datos!CN16," - ")</f>
        <v>0</v>
      </c>
      <c r="K16" s="229">
        <f t="shared" si="3"/>
        <v>8.2443788326141271E-2</v>
      </c>
      <c r="L16" s="1024">
        <f>IF(ISNUMBER(NºAsuntos!I16/NºAsuntos!G16),(NºAsuntos!I16/NºAsuntos!G16)*11," - ")</f>
        <v>29.957714285714285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195</v>
      </c>
      <c r="D17" s="224">
        <f>IF(ISNUMBER(IF(D_I="SI",Datos!I17,Datos!I17+Datos!AC17)),IF(D_I="SI",Datos!I17,Datos!I17+Datos!AC17)," - ")</f>
        <v>195</v>
      </c>
      <c r="E17" s="225">
        <f>IF(ISNUMBER(IF(D_I="SI",Datos!J17,Datos!J17+Datos!AD17)),IF(D_I="SI",Datos!J17,Datos!J17+Datos!AD17)," - ")</f>
        <v>167</v>
      </c>
      <c r="F17" s="225">
        <f>IF(ISNUMBER(IF(D_I="SI",Datos!K17,Datos!K17+Datos!AE17)),IF(D_I="SI",Datos!K17,Datos!K17+Datos!AE17)," - ")</f>
        <v>141</v>
      </c>
      <c r="G17" s="1033" t="str">
        <f>IF(Datos!E17&lt;&gt;"",Datos!E17,Datos!D17)</f>
        <v>37</v>
      </c>
      <c r="H17" s="226">
        <f>IF(ISNUMBER(IF(D_I="SI",Datos!L17,Datos!L17+Datos!AF17)),IF(D_I="SI",Datos!L17,Datos!L17+Datos!AF17)," - ")</f>
        <v>221</v>
      </c>
      <c r="I17" s="1043" t="str">
        <f>IF(ISNUMBER(Datos!AS17/Datos!BM17),Datos!AS17/Datos!BM17," - ")</f>
        <v xml:space="preserve"> - </v>
      </c>
      <c r="J17" s="1044" t="str">
        <f>IF(ISNUMBER((Datos!BY17+Datos!BZ17)/Datos!CN17),(Datos!BY17+Datos!BZ17)/Datos!CN17," - ")</f>
        <v xml:space="preserve"> - </v>
      </c>
      <c r="K17" s="229">
        <f t="shared" si="3"/>
        <v>0.13333333333333333</v>
      </c>
      <c r="L17" s="1024">
        <f>IF(ISNUMBER(NºAsuntos!I17/NºAsuntos!G17),(NºAsuntos!I17/NºAsuntos!G17)*11," - ")</f>
        <v>17.24113475177305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4598</v>
      </c>
      <c r="D18" s="1048">
        <f>SUBTOTAL(9,D15:D17)</f>
        <v>5167</v>
      </c>
      <c r="E18" s="1049">
        <f>SUBTOTAL(9,E15:E17)</f>
        <v>2280</v>
      </c>
      <c r="F18" s="1049">
        <f>SUBTOTAL(9,F15:F17)</f>
        <v>1891</v>
      </c>
      <c r="G18" s="1051" t="str">
        <f ca="1">INDIRECT(CONCATENATE("G",ROW()-1))</f>
        <v>37</v>
      </c>
      <c r="H18" s="1052">
        <f ca="1">SUMIF(G$14:G17,G18,H$14:H17)</f>
        <v>221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4689</v>
      </c>
      <c r="D19" s="1070">
        <f>SUBTOTAL(9,D9:D18)</f>
        <v>5258</v>
      </c>
      <c r="E19" s="1071">
        <f>SUBTOTAL(9,E9:E18)</f>
        <v>2306</v>
      </c>
      <c r="F19" s="1071">
        <f>SUBTOTAL(9,F9:F18)</f>
        <v>1916</v>
      </c>
      <c r="G19" s="1072"/>
      <c r="H19" s="1073">
        <f ca="1">SUMIF(B9:B18,"TOTAL",H9:H18)</f>
        <v>221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Rz5Cydno2LrpP4USECiFDDb9Q9viA1bqDHl/K6hOTZqdC00ClT06061O1XXvWKubv41pJbx4OfIzS4tjkmVNg==" saltValue="pMYgjPQVyvVUfHpw0O+s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UeQtbnNIN+wRZY9nN8lWCl6jBVPm7BEPmrTZofRJolazwaN7rNamTljgxgu7ZYnEpeBx/koHbQdf7+GogBaxA==" saltValue="pc3aSlEn99dO92D9XvSp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91</v>
      </c>
      <c r="J10" s="180">
        <v>26</v>
      </c>
      <c r="K10" s="180">
        <v>25</v>
      </c>
      <c r="L10" s="180">
        <v>92</v>
      </c>
      <c r="M10" s="180">
        <v>7</v>
      </c>
      <c r="N10" s="180">
        <v>5</v>
      </c>
      <c r="O10" s="180">
        <v>5</v>
      </c>
      <c r="P10" s="180">
        <v>6</v>
      </c>
      <c r="Q10" s="180">
        <v>0</v>
      </c>
      <c r="R10" s="180">
        <v>77</v>
      </c>
      <c r="S10" s="180">
        <v>74</v>
      </c>
      <c r="T10" s="180">
        <v>20</v>
      </c>
      <c r="U10" s="180">
        <v>22</v>
      </c>
      <c r="V10" s="180">
        <v>72</v>
      </c>
      <c r="W10" s="180">
        <v>3</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74</v>
      </c>
      <c r="AZ10" s="129">
        <f t="shared" si="0"/>
        <v>20</v>
      </c>
      <c r="BA10" s="129">
        <f t="shared" si="0"/>
        <v>22</v>
      </c>
      <c r="BB10" s="129">
        <f t="shared" si="0"/>
        <v>72</v>
      </c>
      <c r="BC10" s="125">
        <f t="shared" si="0"/>
        <v>3</v>
      </c>
      <c r="BD10" s="126">
        <f>IF(ISNUMBER(BA10/AZ10),BA10/AZ10," - ")</f>
        <v>1.1000000000000001</v>
      </c>
      <c r="BE10" s="127">
        <f>IF(ISNUMBER(BB10/BA10),BB10/BA10, " - ")</f>
        <v>3.2727272727272729</v>
      </c>
      <c r="BF10" s="127">
        <f>IF(ISNUMBER(BC10/BA10),BC10/BA10, " - ")</f>
        <v>0.13636363636363635</v>
      </c>
      <c r="BG10" s="195">
        <f>IF(ISNUMBER((AY10+AZ10)/BA10),(AY10+AZ10)/BA10," - ")</f>
        <v>4.2727272727272725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16957</v>
      </c>
      <c r="J12" s="182">
        <v>2273</v>
      </c>
      <c r="K12" s="182">
        <v>1937</v>
      </c>
      <c r="L12" s="182">
        <v>17223</v>
      </c>
      <c r="M12" s="182">
        <v>631</v>
      </c>
      <c r="N12" s="182">
        <v>635</v>
      </c>
      <c r="O12" s="180">
        <v>771</v>
      </c>
      <c r="P12" s="182">
        <v>619</v>
      </c>
      <c r="Q12" s="182">
        <v>237</v>
      </c>
      <c r="R12" s="182">
        <v>7925</v>
      </c>
      <c r="S12" s="182">
        <v>15651</v>
      </c>
      <c r="T12" s="182">
        <v>4602</v>
      </c>
      <c r="U12" s="182">
        <v>3673</v>
      </c>
      <c r="V12" s="182">
        <v>16580</v>
      </c>
      <c r="W12" s="182">
        <v>711</v>
      </c>
      <c r="X12" s="188">
        <v>689</v>
      </c>
      <c r="Y12" s="190">
        <v>199</v>
      </c>
      <c r="Z12" s="180">
        <v>73</v>
      </c>
      <c r="AA12" s="180">
        <v>52</v>
      </c>
      <c r="AB12" s="180">
        <v>221</v>
      </c>
      <c r="AC12" s="182">
        <v>0</v>
      </c>
      <c r="AD12" s="182">
        <v>0</v>
      </c>
      <c r="AE12" s="182">
        <v>0</v>
      </c>
      <c r="AF12" s="188">
        <v>0</v>
      </c>
      <c r="AG12" s="201">
        <v>128</v>
      </c>
      <c r="AH12" s="182">
        <v>81</v>
      </c>
      <c r="AI12" s="182">
        <v>63</v>
      </c>
      <c r="AJ12" s="202">
        <v>146</v>
      </c>
      <c r="AK12" s="181">
        <v>0</v>
      </c>
      <c r="AL12" s="182">
        <v>0</v>
      </c>
      <c r="AM12" s="182">
        <v>0</v>
      </c>
      <c r="AN12" s="188">
        <v>0</v>
      </c>
      <c r="AO12" s="258">
        <v>9</v>
      </c>
      <c r="AP12" s="154">
        <v>9</v>
      </c>
      <c r="AQ12" s="154">
        <v>9</v>
      </c>
      <c r="AR12" s="153">
        <v>9</v>
      </c>
      <c r="AS12" s="339" t="s">
        <v>794</v>
      </c>
      <c r="AT12" s="202"/>
      <c r="AU12" s="201"/>
      <c r="AV12" s="202"/>
      <c r="AW12" s="201"/>
      <c r="AX12" s="202"/>
      <c r="AY12" s="126">
        <f t="shared" si="1"/>
        <v>15779</v>
      </c>
      <c r="AZ12" s="127">
        <f t="shared" si="1"/>
        <v>4683</v>
      </c>
      <c r="BA12" s="127">
        <f t="shared" si="1"/>
        <v>3736</v>
      </c>
      <c r="BB12" s="127">
        <f t="shared" si="1"/>
        <v>16726</v>
      </c>
      <c r="BC12" s="125">
        <f>IF(ISNUMBER(X12),X12," - ")</f>
        <v>689</v>
      </c>
      <c r="BD12" s="126">
        <f t="shared" si="2"/>
        <v>0.79777920136664526</v>
      </c>
      <c r="BE12" s="127">
        <f t="shared" si="3"/>
        <v>4.4769807280513918</v>
      </c>
      <c r="BF12" s="127">
        <f t="shared" si="4"/>
        <v>0.18442184154175589</v>
      </c>
      <c r="BG12" s="195">
        <f t="shared" si="5"/>
        <v>5.4769807280513918</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17048</v>
      </c>
      <c r="J13" s="183">
        <f t="shared" si="6"/>
        <v>2299</v>
      </c>
      <c r="K13" s="183">
        <f t="shared" si="6"/>
        <v>1962</v>
      </c>
      <c r="L13" s="183">
        <f t="shared" si="6"/>
        <v>17315</v>
      </c>
      <c r="M13" s="183">
        <f t="shared" si="6"/>
        <v>638</v>
      </c>
      <c r="N13" s="183">
        <f t="shared" si="6"/>
        <v>640</v>
      </c>
      <c r="O13" s="183">
        <f t="shared" si="6"/>
        <v>776</v>
      </c>
      <c r="P13" s="183">
        <f t="shared" si="6"/>
        <v>625</v>
      </c>
      <c r="Q13" s="183">
        <f t="shared" si="6"/>
        <v>237</v>
      </c>
      <c r="R13" s="183">
        <f t="shared" si="6"/>
        <v>8002</v>
      </c>
      <c r="S13" s="183">
        <f t="shared" si="6"/>
        <v>15725</v>
      </c>
      <c r="T13" s="183">
        <f t="shared" si="6"/>
        <v>4622</v>
      </c>
      <c r="U13" s="183">
        <f t="shared" si="6"/>
        <v>3695</v>
      </c>
      <c r="V13" s="183">
        <f t="shared" si="6"/>
        <v>16652</v>
      </c>
      <c r="W13" s="183">
        <f t="shared" si="6"/>
        <v>714</v>
      </c>
      <c r="X13" s="183">
        <f t="shared" si="6"/>
        <v>693</v>
      </c>
      <c r="Y13" s="183">
        <f t="shared" si="6"/>
        <v>199</v>
      </c>
      <c r="Z13" s="183">
        <f t="shared" si="6"/>
        <v>73</v>
      </c>
      <c r="AA13" s="183">
        <f t="shared" si="6"/>
        <v>52</v>
      </c>
      <c r="AB13" s="183">
        <f t="shared" si="6"/>
        <v>221</v>
      </c>
      <c r="AC13" s="183">
        <f t="shared" si="6"/>
        <v>0</v>
      </c>
      <c r="AD13" s="183">
        <f t="shared" si="6"/>
        <v>0</v>
      </c>
      <c r="AE13" s="183">
        <f t="shared" si="6"/>
        <v>0</v>
      </c>
      <c r="AF13" s="183">
        <f>SUBTOTAL(9,AF9:AF12)</f>
        <v>0</v>
      </c>
      <c r="AG13" s="183">
        <f t="shared" ref="AG13:AT13" si="7">SUBTOTAL(9,AG8:AG12)</f>
        <v>128</v>
      </c>
      <c r="AH13" s="183">
        <f t="shared" si="7"/>
        <v>81</v>
      </c>
      <c r="AI13" s="183">
        <f t="shared" si="7"/>
        <v>63</v>
      </c>
      <c r="AJ13" s="183">
        <f t="shared" si="7"/>
        <v>146</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15853</v>
      </c>
      <c r="AZ13" s="183">
        <f>SUBTOTAL(9,AZ8:AZ12)</f>
        <v>4703</v>
      </c>
      <c r="BA13" s="183">
        <f>SUBTOTAL(9,BA8:BA12)</f>
        <v>3758</v>
      </c>
      <c r="BB13" s="183">
        <f>SUBTOTAL(9,BB8:BB12)</f>
        <v>16798</v>
      </c>
      <c r="BC13" s="183">
        <f>SUBTOTAL(9,BC8:BC12)</f>
        <v>692</v>
      </c>
      <c r="BD13" s="204">
        <f>IF(ISNUMBER(BA13/AZ13),BA13/AZ13," - ")</f>
        <v>0.79906442696151392</v>
      </c>
      <c r="BE13" s="205">
        <f>IF(ISNUMBER(BB13/BA13),BB13/BA13, " - ")</f>
        <v>4.4699308142629057</v>
      </c>
      <c r="BF13" s="205">
        <f>IF(ISNUMBER(BC13/BA13),BC13/BA13, " - ")</f>
        <v>0.18414050026609899</v>
      </c>
      <c r="BG13" s="206">
        <f>IF(ISNUMBER((AY13+AZ13)/BA13),(AY13+AZ13)/BA13," - ")</f>
        <v>5.4699308142629057</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4972</v>
      </c>
      <c r="J16" s="182">
        <v>2113</v>
      </c>
      <c r="K16" s="182">
        <v>1750</v>
      </c>
      <c r="L16" s="182">
        <v>4766</v>
      </c>
      <c r="M16" s="182">
        <v>252</v>
      </c>
      <c r="N16" s="182">
        <v>995</v>
      </c>
      <c r="O16" s="180">
        <v>2</v>
      </c>
      <c r="P16" s="182">
        <v>77</v>
      </c>
      <c r="Q16" s="182">
        <v>196</v>
      </c>
      <c r="R16" s="182">
        <v>365</v>
      </c>
      <c r="S16" s="182">
        <v>3625</v>
      </c>
      <c r="T16" s="182">
        <v>2638</v>
      </c>
      <c r="U16" s="182">
        <v>2191</v>
      </c>
      <c r="V16" s="182">
        <v>4055</v>
      </c>
      <c r="W16" s="182">
        <v>225</v>
      </c>
      <c r="X16" s="188">
        <v>1435</v>
      </c>
      <c r="Y16" s="201">
        <v>0</v>
      </c>
      <c r="Z16" s="182">
        <v>0</v>
      </c>
      <c r="AA16" s="182">
        <v>0</v>
      </c>
      <c r="AB16" s="182">
        <v>0</v>
      </c>
      <c r="AC16" s="182">
        <v>45</v>
      </c>
      <c r="AD16" s="182">
        <v>45</v>
      </c>
      <c r="AE16" s="182">
        <v>26</v>
      </c>
      <c r="AF16" s="188">
        <v>64</v>
      </c>
      <c r="AG16" s="201">
        <v>0</v>
      </c>
      <c r="AH16" s="182">
        <v>0</v>
      </c>
      <c r="AI16" s="182">
        <v>0</v>
      </c>
      <c r="AJ16" s="202">
        <v>0</v>
      </c>
      <c r="AK16" s="181">
        <v>46</v>
      </c>
      <c r="AL16" s="182">
        <v>78</v>
      </c>
      <c r="AM16" s="182">
        <v>93</v>
      </c>
      <c r="AN16" s="188">
        <v>31</v>
      </c>
      <c r="AO16" s="258">
        <v>9</v>
      </c>
      <c r="AP16" s="154">
        <v>9</v>
      </c>
      <c r="AQ16" s="154">
        <v>9</v>
      </c>
      <c r="AR16" s="154">
        <v>9</v>
      </c>
      <c r="AS16" s="339" t="s">
        <v>487</v>
      </c>
      <c r="AT16" s="202"/>
      <c r="AU16" s="201"/>
      <c r="AV16" s="202"/>
      <c r="AW16" s="201"/>
      <c r="AX16" s="202"/>
      <c r="AY16" s="126">
        <f t="shared" si="9"/>
        <v>3625</v>
      </c>
      <c r="AZ16" s="127">
        <f t="shared" si="9"/>
        <v>2638</v>
      </c>
      <c r="BA16" s="127">
        <f t="shared" si="9"/>
        <v>2191</v>
      </c>
      <c r="BB16" s="127">
        <f t="shared" si="9"/>
        <v>4055</v>
      </c>
      <c r="BC16" s="125">
        <f>IF(ISNUMBER(W16),W16," - ")</f>
        <v>225</v>
      </c>
      <c r="BD16" s="126">
        <f t="shared" ref="BD16" si="11">IF(ISNUMBER(BA16/AZ16),BA16/AZ16," - ")</f>
        <v>0.83055344958301747</v>
      </c>
      <c r="BE16" s="127">
        <f t="shared" ref="BE16" si="12">IF(ISNUMBER(BB16/BA16),BB16/BA16, " - ")</f>
        <v>1.8507530807850296</v>
      </c>
      <c r="BF16" s="127">
        <f t="shared" ref="BF16" si="13">IF(ISNUMBER(BC16/BA16),BC16/BA16, " - ")</f>
        <v>0.1026928343222273</v>
      </c>
      <c r="BG16" s="195">
        <f t="shared" si="10"/>
        <v>2.8585120949338201</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195</v>
      </c>
      <c r="J17" s="182">
        <v>167</v>
      </c>
      <c r="K17" s="182">
        <v>141</v>
      </c>
      <c r="L17" s="182">
        <v>221</v>
      </c>
      <c r="M17" s="182">
        <v>8</v>
      </c>
      <c r="N17" s="182">
        <v>73</v>
      </c>
      <c r="O17" s="182">
        <v>0</v>
      </c>
      <c r="P17" s="182">
        <v>2</v>
      </c>
      <c r="Q17" s="182">
        <v>0</v>
      </c>
      <c r="R17" s="182">
        <v>4</v>
      </c>
      <c r="S17" s="182">
        <v>179</v>
      </c>
      <c r="T17" s="182">
        <v>248</v>
      </c>
      <c r="U17" s="182">
        <v>206</v>
      </c>
      <c r="V17" s="182">
        <v>221</v>
      </c>
      <c r="W17" s="182">
        <v>11</v>
      </c>
      <c r="X17" s="188">
        <v>100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179</v>
      </c>
      <c r="AZ17" s="129">
        <f t="shared" si="14"/>
        <v>248</v>
      </c>
      <c r="BA17" s="129">
        <f t="shared" si="14"/>
        <v>206</v>
      </c>
      <c r="BB17" s="129">
        <f t="shared" si="14"/>
        <v>221</v>
      </c>
      <c r="BC17" s="125">
        <f>IF(ISNUMBER(W17),W17," - ")</f>
        <v>11</v>
      </c>
      <c r="BD17" s="126">
        <f>IF(ISNUMBER(BA17/AZ17),BA17/AZ17," - ")</f>
        <v>0.83064516129032262</v>
      </c>
      <c r="BE17" s="127">
        <f>IF(ISNUMBER(BB17/BA17),BB17/BA17, " - ")</f>
        <v>1.0728155339805825</v>
      </c>
      <c r="BF17" s="127">
        <f>IF(ISNUMBER(BC17/BA17),BC17/BA17, " - ")</f>
        <v>5.3398058252427182E-2</v>
      </c>
      <c r="BG17" s="195">
        <f>IF(ISNUMBER((AY17+AZ17)/BA17),(AY17+AZ17)/BA17," - ")</f>
        <v>2.0728155339805827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5167</v>
      </c>
      <c r="J18" s="183">
        <f t="shared" si="15"/>
        <v>2280</v>
      </c>
      <c r="K18" s="183">
        <f t="shared" si="15"/>
        <v>1891</v>
      </c>
      <c r="L18" s="183">
        <f t="shared" si="15"/>
        <v>4987</v>
      </c>
      <c r="M18" s="183">
        <f t="shared" si="15"/>
        <v>260</v>
      </c>
      <c r="N18" s="183">
        <f t="shared" si="15"/>
        <v>1068</v>
      </c>
      <c r="O18" s="183">
        <f t="shared" si="15"/>
        <v>2</v>
      </c>
      <c r="P18" s="183">
        <f t="shared" si="15"/>
        <v>79</v>
      </c>
      <c r="Q18" s="183">
        <f t="shared" si="15"/>
        <v>196</v>
      </c>
      <c r="R18" s="183">
        <f t="shared" si="15"/>
        <v>369</v>
      </c>
      <c r="S18" s="183">
        <f t="shared" si="15"/>
        <v>3804</v>
      </c>
      <c r="T18" s="183">
        <f t="shared" si="15"/>
        <v>2886</v>
      </c>
      <c r="U18" s="183">
        <f t="shared" si="15"/>
        <v>2397</v>
      </c>
      <c r="V18" s="183">
        <f t="shared" si="15"/>
        <v>4276</v>
      </c>
      <c r="W18" s="183">
        <f t="shared" si="15"/>
        <v>236</v>
      </c>
      <c r="X18" s="183">
        <f t="shared" si="15"/>
        <v>1535</v>
      </c>
      <c r="Y18" s="183">
        <f t="shared" si="15"/>
        <v>0</v>
      </c>
      <c r="Z18" s="183">
        <f t="shared" si="15"/>
        <v>0</v>
      </c>
      <c r="AA18" s="183">
        <f t="shared" si="15"/>
        <v>0</v>
      </c>
      <c r="AB18" s="183">
        <f t="shared" si="15"/>
        <v>0</v>
      </c>
      <c r="AC18" s="183">
        <f t="shared" si="15"/>
        <v>45</v>
      </c>
      <c r="AD18" s="183">
        <f t="shared" si="15"/>
        <v>45</v>
      </c>
      <c r="AE18" s="183">
        <f t="shared" si="15"/>
        <v>26</v>
      </c>
      <c r="AF18" s="183">
        <f t="shared" si="15"/>
        <v>64</v>
      </c>
      <c r="AG18" s="183">
        <f t="shared" si="15"/>
        <v>0</v>
      </c>
      <c r="AH18" s="183">
        <f t="shared" si="15"/>
        <v>0</v>
      </c>
      <c r="AI18" s="183">
        <f t="shared" si="15"/>
        <v>0</v>
      </c>
      <c r="AJ18" s="183">
        <f t="shared" si="15"/>
        <v>0</v>
      </c>
      <c r="AK18" s="183">
        <f t="shared" si="15"/>
        <v>46</v>
      </c>
      <c r="AL18" s="183">
        <f t="shared" si="15"/>
        <v>78</v>
      </c>
      <c r="AM18" s="183">
        <f t="shared" si="15"/>
        <v>93</v>
      </c>
      <c r="AN18" s="183">
        <f t="shared" si="15"/>
        <v>31</v>
      </c>
      <c r="AO18" s="183">
        <f t="shared" si="15"/>
        <v>10</v>
      </c>
      <c r="AP18" s="183">
        <f t="shared" si="15"/>
        <v>10</v>
      </c>
      <c r="AQ18" s="183">
        <f t="shared" si="15"/>
        <v>10</v>
      </c>
      <c r="AR18" s="183">
        <f t="shared" si="15"/>
        <v>10</v>
      </c>
      <c r="AS18" s="183">
        <f t="shared" si="15"/>
        <v>0</v>
      </c>
      <c r="AT18" s="183">
        <f t="shared" si="15"/>
        <v>0</v>
      </c>
      <c r="AU18" s="203"/>
      <c r="AV18" s="132"/>
      <c r="AW18" s="203"/>
      <c r="AX18" s="132"/>
      <c r="AY18" s="183">
        <f>SUBTOTAL(9,AY14:AY17)</f>
        <v>3804</v>
      </c>
      <c r="AZ18" s="183">
        <f>SUBTOTAL(9,AZ14:AZ17)</f>
        <v>2886</v>
      </c>
      <c r="BA18" s="183">
        <f>SUBTOTAL(9,BA14:BA17)</f>
        <v>2397</v>
      </c>
      <c r="BB18" s="183">
        <f>SUBTOTAL(9,BB14:BB17)</f>
        <v>4276</v>
      </c>
      <c r="BC18" s="183">
        <f>SUBTOTAL(9,BC14:BC17)</f>
        <v>236</v>
      </c>
      <c r="BD18" s="204">
        <f>IF(ISNUMBER(BA18/AZ18),BA18/AZ18," - ")</f>
        <v>0.83056133056133052</v>
      </c>
      <c r="BE18" s="205">
        <f>IF(ISNUMBER(BB18/BA18),BB18/BA18, " - ")</f>
        <v>1.7838965373383395</v>
      </c>
      <c r="BF18" s="205">
        <f>IF(ISNUMBER(BC18/BA18),BC18/BA18, " - ")</f>
        <v>9.8456403838130993E-2</v>
      </c>
      <c r="BG18" s="206">
        <f>IF(ISNUMBER((AY18+AZ18)/BA18),(AY18+AZ18)/BA18," - ")</f>
        <v>2.7909887359198997</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22215</v>
      </c>
      <c r="J19" s="134">
        <f t="shared" si="18"/>
        <v>4579</v>
      </c>
      <c r="K19" s="134">
        <f t="shared" si="18"/>
        <v>3853</v>
      </c>
      <c r="L19" s="134">
        <f t="shared" si="18"/>
        <v>22302</v>
      </c>
      <c r="M19" s="134">
        <f t="shared" si="18"/>
        <v>898</v>
      </c>
      <c r="N19" s="134">
        <f t="shared" si="18"/>
        <v>1708</v>
      </c>
      <c r="O19" s="134">
        <f t="shared" si="18"/>
        <v>778</v>
      </c>
      <c r="P19" s="134">
        <f t="shared" si="18"/>
        <v>704</v>
      </c>
      <c r="Q19" s="134">
        <f t="shared" si="18"/>
        <v>433</v>
      </c>
      <c r="R19" s="134">
        <f t="shared" si="18"/>
        <v>8371</v>
      </c>
      <c r="S19" s="134">
        <f t="shared" si="18"/>
        <v>19529</v>
      </c>
      <c r="T19" s="134">
        <f t="shared" si="18"/>
        <v>7508</v>
      </c>
      <c r="U19" s="134">
        <f t="shared" si="18"/>
        <v>6092</v>
      </c>
      <c r="V19" s="134">
        <f t="shared" si="18"/>
        <v>20928</v>
      </c>
      <c r="W19" s="134">
        <f t="shared" si="18"/>
        <v>950</v>
      </c>
      <c r="X19" s="134">
        <f t="shared" si="18"/>
        <v>2228</v>
      </c>
      <c r="Y19" s="134">
        <f t="shared" si="18"/>
        <v>199</v>
      </c>
      <c r="Z19" s="134">
        <f t="shared" si="18"/>
        <v>73</v>
      </c>
      <c r="AA19" s="134">
        <f t="shared" si="18"/>
        <v>52</v>
      </c>
      <c r="AB19" s="134">
        <f t="shared" si="18"/>
        <v>221</v>
      </c>
      <c r="AC19" s="134">
        <f t="shared" si="18"/>
        <v>45</v>
      </c>
      <c r="AD19" s="134">
        <f t="shared" si="18"/>
        <v>45</v>
      </c>
      <c r="AE19" s="134">
        <f t="shared" si="18"/>
        <v>26</v>
      </c>
      <c r="AF19" s="134">
        <f t="shared" si="18"/>
        <v>64</v>
      </c>
      <c r="AG19" s="134">
        <f t="shared" si="18"/>
        <v>128</v>
      </c>
      <c r="AH19" s="134">
        <f t="shared" si="18"/>
        <v>81</v>
      </c>
      <c r="AI19" s="134">
        <f t="shared" si="18"/>
        <v>63</v>
      </c>
      <c r="AJ19" s="134">
        <f t="shared" si="18"/>
        <v>146</v>
      </c>
      <c r="AK19" s="134">
        <f t="shared" si="18"/>
        <v>46</v>
      </c>
      <c r="AL19" s="134">
        <f t="shared" si="18"/>
        <v>78</v>
      </c>
      <c r="AM19" s="134">
        <f t="shared" si="18"/>
        <v>93</v>
      </c>
      <c r="AN19" s="209">
        <f t="shared" si="18"/>
        <v>31</v>
      </c>
      <c r="AO19" s="210">
        <v>10</v>
      </c>
      <c r="AP19" s="210">
        <v>10</v>
      </c>
      <c r="AQ19" s="210">
        <v>10</v>
      </c>
      <c r="AR19" s="210">
        <v>10</v>
      </c>
      <c r="AS19" s="152">
        <f t="shared" si="18"/>
        <v>0</v>
      </c>
      <c r="AT19" s="152">
        <f t="shared" si="18"/>
        <v>0</v>
      </c>
      <c r="AU19" s="210"/>
      <c r="AV19" s="211"/>
      <c r="AW19" s="210"/>
      <c r="AX19" s="211"/>
      <c r="AY19" s="133">
        <f>SUBTOTAL(9,AY9:AY18)</f>
        <v>19657</v>
      </c>
      <c r="AZ19" s="134">
        <f>SUBTOTAL(9,AZ9:AZ18)</f>
        <v>7589</v>
      </c>
      <c r="BA19" s="134">
        <f>SUBTOTAL(9,BA9:BA18)</f>
        <v>6155</v>
      </c>
      <c r="BB19" s="134">
        <f>SUBTOTAL(9,BB9:BB18)</f>
        <v>21074</v>
      </c>
      <c r="BC19" s="135">
        <f>SUBTOTAL(9,BC9:BC18)</f>
        <v>928</v>
      </c>
      <c r="BD19" s="212">
        <f>IF(ISNUMBER(BA19/AZ19),BA19/AZ19," - ")</f>
        <v>0.81104229806298589</v>
      </c>
      <c r="BE19" s="209">
        <f>IF(ISNUMBER(BB19/BA19),BB19/BA19, " - ")</f>
        <v>3.4238830219333876</v>
      </c>
      <c r="BF19" s="209">
        <f>IF(ISNUMBER(BC19/BA19),BC19/BA19, " - ")</f>
        <v>0.15077173030056865</v>
      </c>
      <c r="BG19" s="135">
        <f>IF(ISNUMBER((AY19+AZ19)/BA19),(AY19+AZ19)/BA19," - ")</f>
        <v>4.4266450040617382</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a5rrpNlkMX01GbMNeecG5qEwIIcV1Z4T+ra+IFSb7CaRSfuuBLxj2cM+wXkHcXyBr3B1GwsZ9ejuktCYrmVow==" saltValue="JFH+8J8mH36H3oCl3Wav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WxB//TsBtVww3JYZ3GIdkJO9V0WqHg64Y7U7SuWQfvY3Lqzk+idvK3e022pRPKvws+KkFEUBIv8ryoVv7DQ==" saltValue="rgbA4ojsvOlz+gzmS0++Q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GAVA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91</v>
      </c>
      <c r="G10" s="332">
        <f>IF(ISNUMBER(Datos!I10),Datos!I10," - ")</f>
        <v>91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0</v>
      </c>
      <c r="AD10" s="333"/>
      <c r="AE10" s="483"/>
      <c r="AF10" s="331">
        <f>IF(ISNUMBER(Datos!L10),Datos!L10,"-")</f>
        <v>92</v>
      </c>
      <c r="AG10" s="333"/>
      <c r="AH10" s="333"/>
      <c r="AI10" s="333"/>
      <c r="AJ10" s="333"/>
      <c r="AK10" s="333"/>
      <c r="AL10" s="478"/>
      <c r="AM10" s="334">
        <f>IF(ISNUMBER(Datos!R10),Datos!R10," - ")</f>
        <v>77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5</v>
      </c>
      <c r="BE10" s="228" t="str">
        <f>IF(ISNUMBER(Datos!BW10),Datos!BW10," - ")</f>
        <v xml:space="preserve"> - </v>
      </c>
      <c r="BF10" s="227" t="str">
        <f>IF(ISNUMBER(Datos!BX10),Datos!BX10," - ")</f>
        <v xml:space="preserve"> - </v>
      </c>
      <c r="BG10" s="242">
        <f>IF(ISNUMBER(Datos!K10/Datos!J10),Datos!K10/Datos!J10," - ")</f>
        <v>0.96153846153846156</v>
      </c>
      <c r="BH10" s="259">
        <f>IF(ISNUMBER(((Datos!L10/Datos!K10)*11)/factor_trimestre),((Datos!L10/Datos!K10)*11)/factor_trimestre," - ")</f>
        <v>7.36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8.4507042253521125E-2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73</v>
      </c>
      <c r="O12" s="333"/>
      <c r="P12" s="333"/>
      <c r="Q12" s="225">
        <f>IF(ISNUMBER(Datos!P12),Datos!P12,0)</f>
        <v>619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221</v>
      </c>
      <c r="AI12" s="333" t="str">
        <f>IF(ISNUMBER(Datos!CD12),Datos!CD12,"-")</f>
        <v>-</v>
      </c>
      <c r="AJ12" s="333" t="str">
        <f>IF(ISNUMBER(Datos!EN12),Datos!EN12," - ")</f>
        <v xml:space="preserve"> - </v>
      </c>
      <c r="AK12" s="333"/>
      <c r="AL12" s="478"/>
      <c r="AM12" s="334">
        <f>IF(ISNUMBER(Datos!R12),Datos!R12," - ")</f>
        <v>7925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631</v>
      </c>
      <c r="BD12" s="228">
        <f>IF(ISNUMBER(Datos!N12),Datos!N12," - ")</f>
        <v>635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0.84782608695652173</v>
      </c>
      <c r="BH12" s="259">
        <f>IF(ISNUMBER(((IF(J_V="SI",Datos!L12/Datos!K12,(Datos!L12+Datos!AB12)/(Datos!K12+Datos!AA12)))*11)/factor_trimestre),((IF(J_V="SI",Datos!L12/Datos!K12,(Datos!L12+Datos!AB12)/(Datos!K12+Datos!AA12)))*11)/factor_trimestre," - ")</f>
        <v>17.54047259929613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5.0642980246586242E-2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10</v>
      </c>
      <c r="F13" s="897">
        <f t="shared" si="0"/>
        <v>91</v>
      </c>
      <c r="G13" s="897">
        <f t="shared" si="0"/>
        <v>91</v>
      </c>
      <c r="H13" s="898">
        <f t="shared" si="0"/>
        <v>0</v>
      </c>
      <c r="I13" s="897">
        <f t="shared" si="0"/>
        <v>0</v>
      </c>
      <c r="J13" s="866">
        <f t="shared" si="0"/>
        <v>0</v>
      </c>
      <c r="K13" s="866">
        <f t="shared" si="0"/>
        <v>0</v>
      </c>
      <c r="L13" s="898">
        <f t="shared" si="0"/>
        <v>0</v>
      </c>
      <c r="M13" s="898">
        <f t="shared" si="0"/>
        <v>0</v>
      </c>
      <c r="N13" s="898">
        <f t="shared" si="0"/>
        <v>73</v>
      </c>
      <c r="O13" s="899">
        <f t="shared" si="0"/>
        <v>0</v>
      </c>
      <c r="P13" s="899">
        <f t="shared" si="0"/>
        <v>0</v>
      </c>
      <c r="Q13" s="898">
        <f t="shared" si="0"/>
        <v>625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237</v>
      </c>
      <c r="AD13" s="898">
        <f t="shared" si="1"/>
        <v>0</v>
      </c>
      <c r="AE13" s="898">
        <f t="shared" si="1"/>
        <v>0</v>
      </c>
      <c r="AF13" s="898">
        <f t="shared" si="1"/>
        <v>92</v>
      </c>
      <c r="AG13" s="898">
        <f t="shared" si="1"/>
        <v>0</v>
      </c>
      <c r="AH13" s="898">
        <f t="shared" si="1"/>
        <v>221</v>
      </c>
      <c r="AI13" s="898">
        <f t="shared" si="1"/>
        <v>0</v>
      </c>
      <c r="AJ13" s="898">
        <f t="shared" si="1"/>
        <v>0</v>
      </c>
      <c r="AK13" s="898">
        <f t="shared" si="1"/>
        <v>0</v>
      </c>
      <c r="AL13" s="898">
        <f t="shared" si="1"/>
        <v>0</v>
      </c>
      <c r="AM13" s="898">
        <f t="shared" si="1"/>
        <v>8002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638</v>
      </c>
      <c r="BD13" s="898">
        <f t="shared" si="1"/>
        <v>640</v>
      </c>
      <c r="BE13" s="898">
        <f t="shared" si="1"/>
        <v>0</v>
      </c>
      <c r="BF13" s="898">
        <f t="shared" si="1"/>
        <v>0</v>
      </c>
      <c r="BG13" s="898">
        <f>IF(ISNUMBER(Datos!K13/Datos!J13),Datos!K13/Datos!J13," - ")</f>
        <v>0.85341452805567641</v>
      </c>
      <c r="BH13" s="902">
        <f>IF(ISNUMBER(((Datos!L13/Datos!K13)*11)/factor_trimestre),((Datos!L13/Datos!K13)*11)/factor_trimestre," - ")</f>
        <v>17.650356778797146</v>
      </c>
      <c r="BI13" s="898">
        <f>IF(ISNUMBER('Resol  Asuntos'!D13/NºAsuntos!G13),'Resol  Asuntos'!D13/NºAsuntos!G13," - ")</f>
        <v>0.31678252234359483</v>
      </c>
      <c r="BJ13" s="898" t="str">
        <f>IF(ISNUMBER(Datos!CI13/Datos!CJ13),Datos!CI13/Datos!CJ13," - ")</f>
        <v xml:space="preserve"> - </v>
      </c>
      <c r="BK13" s="898">
        <f>SUBTOTAL(9,BK8:BK12)</f>
        <v>0</v>
      </c>
      <c r="BL13" s="898">
        <f>IF(ISNUMBER((I13-AB13+L13)/(F13)),(I13-AB13+L13)/(F13)," - ")</f>
        <v>-0.27472527472527475</v>
      </c>
      <c r="BM13" s="903">
        <f>SUBTOTAL(9,BM9:BM12)</f>
        <v>0.13515002250010738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4403</v>
      </c>
      <c r="G16" s="597">
        <f>IF(ISNUMBER(IF(D_I="SI",Datos!I16,Datos!I16+Datos!AC16)),IF(D_I="SI",Datos!I16,Datos!I16+Datos!AC16)," - ")</f>
        <v>4972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1750</v>
      </c>
      <c r="AC16" s="225">
        <f>IF(ISNUMBER(Datos!Q16),Datos!Q16," - ")</f>
        <v>196</v>
      </c>
      <c r="AD16" s="333"/>
      <c r="AE16" s="483"/>
      <c r="AF16" s="595">
        <f>IF(ISNUMBER(IF(D_I="SI",Datos!L16,Datos!L16+Datos!AF16)),IF(D_I="SI",Datos!L16,Datos!L16+Datos!AF16)," - ")</f>
        <v>4766</v>
      </c>
      <c r="AG16" s="333"/>
      <c r="AH16" s="333"/>
      <c r="AI16" s="333"/>
      <c r="AJ16" s="333"/>
      <c r="AK16" s="333"/>
      <c r="AL16" s="478"/>
      <c r="AM16" s="334">
        <f>IF(ISNUMBER(Datos!R16),Datos!R16," - ")</f>
        <v>365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252</v>
      </c>
      <c r="BD16" s="228">
        <f>IF(ISNUMBER(Datos!N16),Datos!N16," - ")</f>
        <v>995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0.82820634169427354</v>
      </c>
      <c r="BH16" s="259">
        <f>IF(ISNUMBER(((IF(D_I="SI",Datos!L16/Datos!K16,(Datos!L16+Datos!AF16)/(Datos!K16+Datos!AE16)))*11)/factor_trimestre),((IF(D_I="SI",Datos!L16/Datos!K16,(Datos!L16+Datos!AF16)/(Datos!K16+Datos!AE16)))*11)/factor_trimestre," - ")</f>
        <v>5.4468571428571426</v>
      </c>
      <c r="BI16" s="242">
        <f>IF(ISNUMBER('Resol  Asuntos'!D16/NºAsuntos!G16),'Resol  Asuntos'!D16/NºAsuntos!G16," - ")</f>
        <v>0.14399999999999999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195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141</v>
      </c>
      <c r="AC17" s="225">
        <f>IF(ISNUMBER(Datos!Q17),Datos!Q17," - ")</f>
        <v>0</v>
      </c>
      <c r="AD17" s="333"/>
      <c r="AE17" s="483"/>
      <c r="AF17" s="331">
        <f>IF(ISNUMBER(Datos!L17),Datos!L17,"-")</f>
        <v>221</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0.84431137724550898</v>
      </c>
      <c r="BH17" s="259">
        <f>IF(ISNUMBER(((IF(D_I="SI",Datos!L17/Datos!K17,(Datos!L17+Datos!AF17)/(Datos!K17+Datos!AE17)))*11)/factor_trimestre),((IF(D_I="SI",Datos!L17/Datos!K17,(Datos!L17+Datos!AF17)/(Datos!K17+Datos!AE17)))*11)/factor_trimestre," - ")</f>
        <v>3.1347517730496453</v>
      </c>
      <c r="BI17" s="242">
        <f>IF(ISNUMBER('Resol  Asuntos'!D17/NºAsuntos!G17),'Resol  Asuntos'!D17/NºAsuntos!G17," - ")</f>
        <v>5.6737588652482268E-2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10</v>
      </c>
      <c r="F18" s="897">
        <f>SUBTOTAL(9,F15:F17)</f>
        <v>4403</v>
      </c>
      <c r="G18" s="897">
        <f>SUBTOTAL(9,G15:G17)</f>
        <v>5167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1891</v>
      </c>
      <c r="AC18" s="898">
        <f t="shared" si="4"/>
        <v>196</v>
      </c>
      <c r="AD18" s="898">
        <f t="shared" si="4"/>
        <v>0</v>
      </c>
      <c r="AE18" s="898">
        <f t="shared" si="4"/>
        <v>0</v>
      </c>
      <c r="AF18" s="898">
        <f t="shared" si="4"/>
        <v>4987</v>
      </c>
      <c r="AG18" s="898">
        <f t="shared" si="4"/>
        <v>0</v>
      </c>
      <c r="AH18" s="898">
        <f t="shared" si="4"/>
        <v>0</v>
      </c>
      <c r="AI18" s="898">
        <f t="shared" si="4"/>
        <v>0</v>
      </c>
      <c r="AJ18" s="898">
        <f t="shared" si="4"/>
        <v>0</v>
      </c>
      <c r="AK18" s="898">
        <f t="shared" si="4"/>
        <v>0</v>
      </c>
      <c r="AL18" s="898">
        <f t="shared" si="4"/>
        <v>0</v>
      </c>
      <c r="AM18" s="898">
        <f t="shared" si="4"/>
        <v>369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260</v>
      </c>
      <c r="BD18" s="898">
        <f t="shared" si="4"/>
        <v>1068</v>
      </c>
      <c r="BE18" s="898">
        <f t="shared" si="4"/>
        <v>0</v>
      </c>
      <c r="BF18" s="898">
        <f t="shared" si="4"/>
        <v>0</v>
      </c>
      <c r="BG18" s="898">
        <f>IF(ISNUMBER(Datos!K18/Datos!J18),Datos!K18/Datos!J18," - ")</f>
        <v>0.82938596491228067</v>
      </c>
      <c r="BH18" s="902">
        <f>IF(ISNUMBER(((Datos!L18/Datos!K18)*11)/factor_trimestre),((Datos!L18/Datos!K18)*11)/factor_trimestre," - ")</f>
        <v>5.2744579587519826</v>
      </c>
      <c r="BI18" s="898">
        <f>SUBTOTAL(9,BI15:BI17)</f>
        <v>0.20073758865248226</v>
      </c>
      <c r="BJ18" s="898">
        <f>SUBTOTAL(9,BJ15:BJ17)</f>
        <v>0</v>
      </c>
      <c r="BK18" s="898">
        <f>SUBTOTAL(9,BK15:BK17)</f>
        <v>0</v>
      </c>
      <c r="BL18" s="898">
        <f>IF(ISNUMBER((I18-AB18+L18)/(F18)),(I18-AB18+L18)/(F18)," - ")</f>
        <v>-0.42947990006813536</v>
      </c>
      <c r="BM18" s="904">
        <f>IF(ISNUMBER((Datos!P18-Datos!Q18)/(Datos!R18-Datos!P18+Datos!Q18)),(Datos!P18-Datos!Q18)/(Datos!R18-Datos!P18+Datos!Q18)," - ")</f>
        <v>-0.24074074074074073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20</v>
      </c>
      <c r="F19" s="819">
        <f t="shared" si="6"/>
        <v>4494</v>
      </c>
      <c r="G19" s="819">
        <f t="shared" si="6"/>
        <v>5258</v>
      </c>
      <c r="H19" s="821">
        <f t="shared" si="6"/>
        <v>0</v>
      </c>
      <c r="I19" s="819">
        <f t="shared" si="6"/>
        <v>0</v>
      </c>
      <c r="J19" s="821">
        <f t="shared" si="6"/>
        <v>0</v>
      </c>
      <c r="K19" s="821">
        <f t="shared" si="6"/>
        <v>0</v>
      </c>
      <c r="L19" s="880">
        <f t="shared" si="6"/>
        <v>0</v>
      </c>
      <c r="M19" s="880">
        <f t="shared" si="6"/>
        <v>0</v>
      </c>
      <c r="N19" s="880">
        <f t="shared" si="6"/>
        <v>73</v>
      </c>
      <c r="O19" s="880">
        <f t="shared" si="6"/>
        <v>0</v>
      </c>
      <c r="P19" s="880">
        <f t="shared" si="6"/>
        <v>0</v>
      </c>
      <c r="Q19" s="821">
        <f t="shared" si="6"/>
        <v>704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1916</v>
      </c>
      <c r="AC19" s="820">
        <f t="shared" si="7"/>
        <v>433</v>
      </c>
      <c r="AD19" s="820">
        <f t="shared" si="7"/>
        <v>0</v>
      </c>
      <c r="AE19" s="820">
        <f t="shared" si="7"/>
        <v>0</v>
      </c>
      <c r="AF19" s="827">
        <f t="shared" si="7"/>
        <v>5079</v>
      </c>
      <c r="AG19" s="827">
        <f t="shared" si="7"/>
        <v>0</v>
      </c>
      <c r="AH19" s="827">
        <f t="shared" si="7"/>
        <v>221</v>
      </c>
      <c r="AI19" s="827">
        <f t="shared" si="7"/>
        <v>0</v>
      </c>
      <c r="AJ19" s="820">
        <f t="shared" si="7"/>
        <v>0</v>
      </c>
      <c r="AK19" s="827">
        <f t="shared" si="7"/>
        <v>0</v>
      </c>
      <c r="AL19" s="827">
        <f t="shared" si="7"/>
        <v>0</v>
      </c>
      <c r="AM19" s="827">
        <f t="shared" si="7"/>
        <v>8371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898</v>
      </c>
      <c r="BD19" s="819">
        <f t="shared" si="7"/>
        <v>1708</v>
      </c>
      <c r="BE19" s="819">
        <f t="shared" si="7"/>
        <v>0</v>
      </c>
      <c r="BF19" s="829">
        <f t="shared" si="7"/>
        <v>0</v>
      </c>
      <c r="BG19" s="914">
        <f>IF(ISNUMBER(Datos!K19/Datos!J19),Datos!K19/Datos!J19," - ")</f>
        <v>0.84145009827473249</v>
      </c>
      <c r="BH19" s="914">
        <f>IF(ISNUMBER(((Datos!L19/Datos!K19)*11)/factor_trimestre),((Datos!L19/Datos!K19)*11)/factor_trimestre," - ")</f>
        <v>11.576433947573319</v>
      </c>
      <c r="BI19" s="812">
        <f>IF(ISNUMBER(Datos!J19/Datos!I19),Datos!J19/Datos!I19," - ")</f>
        <v>0.20612198964663517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-0.4263462394303516</v>
      </c>
      <c r="BM19" s="888">
        <f>IF(ISNUMBER((Datos!P19-Datos!Q19+R19)/(Datos!R19-Datos!P19+Datos!Q19-R19)),(Datos!P19-Datos!Q19+R19)/(Datos!R19-Datos!P19+Datos!Q19-R19)," - ")</f>
        <v>3.3456790123456794E-2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2103.1999999999998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4.8247049420433763</v>
      </c>
      <c r="F21" s="550">
        <f>IF(ISNUMBER(STDEV(F8:F18)),STDEV(F8:F18),"-")</f>
        <v>2489.5343607456662</v>
      </c>
      <c r="G21" s="551">
        <f>IF(ISNUMBER(STDEV(G8:G18)),STDEV(G8:G18),"-")</f>
        <v>2709.059283219915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964.71073384719841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282.42497528842358</v>
      </c>
      <c r="BD21" s="550"/>
      <c r="BE21" s="550">
        <f>IF(ISNUMBER(STDEV(BE8:BE18)),STDEV(BE8:BE18),"-")</f>
        <v>0</v>
      </c>
      <c r="BF21" s="555">
        <f>IF(ISNUMBER(STDEV(BF8:BF18)),STDEV(BF8:BF18),"-")</f>
        <v>0</v>
      </c>
      <c r="BG21" s="774">
        <f>IF(ISNUMBER(STDEV(BG8:BG18)),STDEV(BG8:BG18),"-")</f>
        <v>5.0382865738989473E-2</v>
      </c>
      <c r="BH21" s="775">
        <f>IF(ISNUMBER(STDEV(BH8:BH18)),STDEV(BH8:BH18),"-")</f>
        <v>6.4868797448286415</v>
      </c>
      <c r="BI21" s="248">
        <f>IF(ISNUMBER(STDEV(BI8:BI18)),STDEV(BI8:BI18),"-")</f>
        <v>0.10897762637405839</v>
      </c>
      <c r="BJ21" s="229" t="str">
        <f>IF(ISNUMBER(BL21/BM21),BL21/BM21," - ")</f>
        <v xml:space="preserve"> - </v>
      </c>
      <c r="BK21" s="574"/>
      <c r="BL21" s="558">
        <f>IF(ISNUMBER(STDEV(BL8:BL18)),STDEV(BL8:BL18),"-")</f>
        <v>0.1094280449999203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um16Xb1QOu1iaNA3Qke3+HY/lPNCSLry+nCbBZYXoS9VLR054xfrN7IpsYSvcHBo+HtO21tO5thGzAjKyvEo+g==" saltValue="kHwFaxTh5MpAcDiPIXZT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GAVA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91</v>
      </c>
      <c r="G10" s="224">
        <f>IF(ISNUMBER(Datos!I10),Datos!I10," - ")</f>
        <v>91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0</v>
      </c>
      <c r="AA10" s="331">
        <f>IF(ISNUMBER(Datos!L10),Datos!L10,"-")</f>
        <v>92</v>
      </c>
      <c r="AB10" s="333"/>
      <c r="AC10" s="333"/>
      <c r="AD10" s="483"/>
      <c r="AE10" s="483">
        <f>IF(ISNUMBER(Datos!R10),Datos!R10," - ")</f>
        <v>77</v>
      </c>
      <c r="AF10" s="228" t="str">
        <f>IF(ISNUMBER(Datos!BV10),Datos!BV10," - ")</f>
        <v xml:space="preserve"> - </v>
      </c>
      <c r="AG10" s="224" t="str">
        <f>IF(ISNUMBER(Datos!DV10),Datos!DV10," - ")</f>
        <v xml:space="preserve"> - </v>
      </c>
      <c r="AH10" s="297"/>
      <c r="AI10" s="226"/>
      <c r="AJ10" s="224">
        <f>IF(ISNUMBER(Datos!M10),Datos!M10," - ")</f>
        <v>7</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8.4507042253521125E-2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237</v>
      </c>
      <c r="AA12" s="331" t="str">
        <f>IF(ISNUMBER(IF(J_V="SI",Datos!L12,Datos!L12+Datos!AB12)-IF(Monitorios="SI",Datos!CD12,0)),
                          IF(J_V="SI",Datos!L12,Datos!L12+Datos!AB12)-IF(Monitorios="SI",Datos!CD12,0),
                          " - ")</f>
        <v xml:space="preserve"> - </v>
      </c>
      <c r="AB12" s="333"/>
      <c r="AC12" s="333"/>
      <c r="AD12" s="483"/>
      <c r="AE12" s="483">
        <f>IF(ISNUMBER(Datos!R12),Datos!R12," - ")</f>
        <v>7925</v>
      </c>
      <c r="AF12" s="228" t="str">
        <f>IF(ISNUMBER(Datos!BV12),Datos!BV12," - ")</f>
        <v xml:space="preserve"> - </v>
      </c>
      <c r="AG12" s="224" t="str">
        <f>IF(ISNUMBER(Datos!DV12),Datos!DV12," - ")</f>
        <v xml:space="preserve"> - </v>
      </c>
      <c r="AH12" s="297"/>
      <c r="AI12" s="226"/>
      <c r="AJ12" s="224">
        <f>IF(ISNUMBER(Datos!M12),Datos!M12," - ")</f>
        <v>631</v>
      </c>
      <c r="AK12" s="228">
        <f>IF(ISNUMBER(Datos!N12),Datos!N12," - ")</f>
        <v>635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17.54047259929613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5.0642980246586242E-2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10</v>
      </c>
      <c r="F13" s="897">
        <f>SUBTOTAL(9,F8:F12)</f>
        <v>91</v>
      </c>
      <c r="G13" s="897">
        <f>SUBTOTAL(9,G8:G12)</f>
        <v>91</v>
      </c>
      <c r="H13" s="907"/>
      <c r="I13" s="897">
        <f t="shared" ref="I13:N13" si="0">SUBTOTAL(9,I8:I12)</f>
        <v>0</v>
      </c>
      <c r="J13" s="866">
        <f t="shared" si="0"/>
        <v>0</v>
      </c>
      <c r="K13" s="907">
        <f t="shared" si="0"/>
        <v>0</v>
      </c>
      <c r="L13" s="907">
        <f t="shared" si="0"/>
        <v>0</v>
      </c>
      <c r="M13" s="907">
        <f t="shared" si="0"/>
        <v>0</v>
      </c>
      <c r="N13" s="907">
        <f t="shared" si="0"/>
        <v>625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237</v>
      </c>
      <c r="AA13" s="899">
        <f t="shared" si="2"/>
        <v>92</v>
      </c>
      <c r="AB13" s="899">
        <f t="shared" si="2"/>
        <v>0</v>
      </c>
      <c r="AC13" s="899">
        <f t="shared" si="2"/>
        <v>0</v>
      </c>
      <c r="AD13" s="899">
        <f t="shared" si="2"/>
        <v>0</v>
      </c>
      <c r="AE13" s="899">
        <f t="shared" si="2"/>
        <v>8002</v>
      </c>
      <c r="AF13" s="907">
        <f t="shared" si="2"/>
        <v>0</v>
      </c>
      <c r="AG13" s="907">
        <f t="shared" si="2"/>
        <v>0</v>
      </c>
      <c r="AH13" s="907">
        <f t="shared" si="2"/>
        <v>0</v>
      </c>
      <c r="AI13" s="907">
        <f t="shared" si="2"/>
        <v>0</v>
      </c>
      <c r="AJ13" s="907">
        <f t="shared" si="2"/>
        <v>638</v>
      </c>
      <c r="AK13" s="907">
        <f t="shared" si="2"/>
        <v>640</v>
      </c>
      <c r="AL13" s="907">
        <f t="shared" si="2"/>
        <v>0</v>
      </c>
      <c r="AM13" s="907">
        <f t="shared" si="2"/>
        <v>0</v>
      </c>
      <c r="AN13" s="907">
        <f t="shared" si="2"/>
        <v>0</v>
      </c>
      <c r="AO13" s="903">
        <f>IF(ISNUMBER(((NºAsuntos!I13/NºAsuntos!G13)*11)/factor_trimestre),((NºAsuntos!I13/NºAsuntos!G13)*11)/factor_trimestre," - ")</f>
        <v>17.414101290963256</v>
      </c>
      <c r="AP13" s="909" t="str">
        <f>IF(ISNUMBER(Datos!CI13/Datos!CJ13),Datos!CI13/Datos!CJ13," - ")</f>
        <v xml:space="preserve"> - </v>
      </c>
      <c r="AQ13" s="927">
        <f t="shared" ref="AQ13:AV13" si="3">SUBTOTAL(9,AQ9:AQ12)</f>
        <v>0</v>
      </c>
      <c r="AR13" s="927">
        <f t="shared" si="3"/>
        <v>0.13515002250010738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4403</v>
      </c>
      <c r="G16" s="224">
        <f>IF(ISNUMBER(IF(D_I="SI",Datos!I16,Datos!I16+Datos!AC16)),IF(D_I="SI",Datos!I16,Datos!I16+Datos!AC16)," - ")</f>
        <v>4972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1750</v>
      </c>
      <c r="Z16" s="618">
        <f>IF(ISNUMBER(Datos!Q16),Datos!Q16," - ")</f>
        <v>196</v>
      </c>
      <c r="AA16" s="331">
        <f>IF(ISNUMBER(IF(D_I="SI",Datos!L16,Datos!L16+Datos!AF16)),IF(D_I="SI",Datos!L16,Datos!L16+Datos!AF16)," - ")</f>
        <v>4766</v>
      </c>
      <c r="AB16" s="333"/>
      <c r="AC16" s="333"/>
      <c r="AD16" s="483"/>
      <c r="AE16" s="483">
        <f>IF(ISNUMBER(Datos!R16),Datos!R16," - ")</f>
        <v>365</v>
      </c>
      <c r="AF16" s="228" t="str">
        <f>IF(ISNUMBER(Datos!BV16),Datos!BV16," - ")</f>
        <v xml:space="preserve"> - </v>
      </c>
      <c r="AG16" s="224"/>
      <c r="AH16" s="297"/>
      <c r="AI16" s="226"/>
      <c r="AJ16" s="224">
        <f>IF(ISNUMBER(Datos!M16),Datos!M16," - ")</f>
        <v>252</v>
      </c>
      <c r="AK16" s="228">
        <f>IF(ISNUMBER(Datos!N16),Datos!N16," - ")</f>
        <v>995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5.4468571428571426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195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141</v>
      </c>
      <c r="Z17" s="618">
        <f>IF(ISNUMBER(Datos!Q17),Datos!Q17," - ")</f>
        <v>0</v>
      </c>
      <c r="AA17" s="331">
        <f>IF(ISNUMBER(Datos!L17),Datos!L17,"-")</f>
        <v>221</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8</v>
      </c>
      <c r="AK17" s="228">
        <f>IF(ISNUMBER(Datos!N17),Datos!N17," - ")</f>
        <v>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3.1347517730496453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10</v>
      </c>
      <c r="F18" s="897">
        <f>SUBTOTAL(9,F15:F17)</f>
        <v>4403</v>
      </c>
      <c r="G18" s="897">
        <f>SUBTOTAL(9,G15:G17)</f>
        <v>5167</v>
      </c>
      <c r="H18" s="931">
        <f>SUBTOTAL(9,H15:H17)</f>
        <v>0</v>
      </c>
      <c r="I18" s="910">
        <f>SUBTOTAL(9,I15:I17)</f>
        <v>0</v>
      </c>
      <c r="J18" s="866">
        <f>SUBTOTAL(9,J14:J17)</f>
        <v>0</v>
      </c>
      <c r="K18" s="931">
        <f t="shared" ref="K18:S18" si="4">SUBTOTAL(9,K15:K17)</f>
        <v>0</v>
      </c>
      <c r="L18" s="931">
        <f t="shared" si="4"/>
        <v>0</v>
      </c>
      <c r="M18" s="931">
        <f t="shared" si="4"/>
        <v>0</v>
      </c>
      <c r="N18" s="931">
        <f t="shared" si="4"/>
        <v>79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1891</v>
      </c>
      <c r="Z18" s="931">
        <f t="shared" si="5"/>
        <v>196</v>
      </c>
      <c r="AA18" s="931">
        <f t="shared" si="5"/>
        <v>4987</v>
      </c>
      <c r="AB18" s="931">
        <f t="shared" si="5"/>
        <v>0</v>
      </c>
      <c r="AC18" s="931">
        <f t="shared" si="5"/>
        <v>0</v>
      </c>
      <c r="AD18" s="931">
        <f t="shared" si="5"/>
        <v>0</v>
      </c>
      <c r="AE18" s="931">
        <f t="shared" si="5"/>
        <v>369</v>
      </c>
      <c r="AF18" s="931">
        <f t="shared" si="5"/>
        <v>0</v>
      </c>
      <c r="AG18" s="931">
        <f t="shared" si="5"/>
        <v>0</v>
      </c>
      <c r="AH18" s="931">
        <f t="shared" si="5"/>
        <v>0</v>
      </c>
      <c r="AI18" s="931">
        <f t="shared" si="5"/>
        <v>0</v>
      </c>
      <c r="AJ18" s="931">
        <f t="shared" si="5"/>
        <v>260</v>
      </c>
      <c r="AK18" s="931">
        <f t="shared" si="5"/>
        <v>1068</v>
      </c>
      <c r="AL18" s="931">
        <f t="shared" si="5"/>
        <v>0</v>
      </c>
      <c r="AM18" s="931">
        <f t="shared" si="5"/>
        <v>0</v>
      </c>
      <c r="AN18" s="931">
        <f t="shared" si="5"/>
        <v>0</v>
      </c>
      <c r="AO18" s="933">
        <f>IF(ISNUMBER(((NºAsuntos!I18/NºAsuntos!G18)*11)/factor_trimestre),((NºAsuntos!I18/NºAsuntos!G18)*11)/factor_trimestre," - ")</f>
        <v>5.2744579587519826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4494</v>
      </c>
      <c r="G19" s="819">
        <f t="shared" si="7"/>
        <v>5258</v>
      </c>
      <c r="H19" s="820">
        <f t="shared" si="7"/>
        <v>0</v>
      </c>
      <c r="I19" s="819">
        <f t="shared" si="7"/>
        <v>0</v>
      </c>
      <c r="J19" s="821">
        <f t="shared" si="7"/>
        <v>0</v>
      </c>
      <c r="K19" s="819">
        <f t="shared" si="7"/>
        <v>0</v>
      </c>
      <c r="L19" s="822">
        <f t="shared" si="7"/>
        <v>0</v>
      </c>
      <c r="M19" s="819">
        <f t="shared" si="7"/>
        <v>0</v>
      </c>
      <c r="N19" s="820">
        <f t="shared" si="7"/>
        <v>704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1916</v>
      </c>
      <c r="Z19" s="826">
        <f t="shared" si="8"/>
        <v>433</v>
      </c>
      <c r="AA19" s="827">
        <f t="shared" si="8"/>
        <v>5079</v>
      </c>
      <c r="AB19" s="827">
        <f t="shared" si="8"/>
        <v>0</v>
      </c>
      <c r="AC19" s="827">
        <f t="shared" si="8"/>
        <v>0</v>
      </c>
      <c r="AD19" s="828">
        <f t="shared" si="8"/>
        <v>0</v>
      </c>
      <c r="AE19" s="828">
        <f t="shared" si="8"/>
        <v>8371</v>
      </c>
      <c r="AF19" s="829">
        <f t="shared" si="8"/>
        <v>0</v>
      </c>
      <c r="AG19" s="830">
        <f t="shared" si="8"/>
        <v>0</v>
      </c>
      <c r="AH19" s="831">
        <f t="shared" si="8"/>
        <v>0</v>
      </c>
      <c r="AI19" s="829">
        <f t="shared" si="8"/>
        <v>0</v>
      </c>
      <c r="AJ19" s="819">
        <f t="shared" si="8"/>
        <v>898</v>
      </c>
      <c r="AK19" s="819">
        <f t="shared" si="8"/>
        <v>1708</v>
      </c>
      <c r="AL19" s="819">
        <f t="shared" si="8"/>
        <v>0</v>
      </c>
      <c r="AM19" s="832">
        <f t="shared" si="8"/>
        <v>0</v>
      </c>
      <c r="AN19" s="822">
        <f>IF(ISNUMBER(Datos!K19/Datos!J19),Datos!K19/Datos!J19," - ")</f>
        <v>0.84145009827473249</v>
      </c>
      <c r="AO19" s="822">
        <f>IF(ISNUMBER(FIND("06",Criterios!A8,1)),(IF(ISNUMBER(((Datos!R19/Datos!Q19)*11)/factor_trimestre),((Datos!R19/Datos!Q19)*11)/factor_trimestre," - ")),(IF(ISNUMBER(((Datos!L19/Datos!K19)*11)/factor_trimestre),((Datos!L19/Datos!K19)*11)/factor_trimestre," - ")))</f>
        <v>11.576433947573319</v>
      </c>
      <c r="AP19" s="833" t="str">
        <f>IF(ISNUMBER(Datos!CI19/Datos!CJ19),Datos!CI19/Datos!CJ19," - ")</f>
        <v xml:space="preserve"> - </v>
      </c>
      <c r="AQ19" s="833">
        <f>IF(OR(ISNUMBER(FIND("01",Criterios!A8,1)),ISNUMBER(FIND("02",Criterios!A8,1)),ISNUMBER(FIND("03",Criterios!A8,1)),ISNUMBER(FIND("04",Criterios!A8,1))),(J19-Y19+K19)/(F19-K19),(I19-Y19+K19)/(F19-K19))</f>
        <v>-0.4263462394303516</v>
      </c>
      <c r="AR19" s="833">
        <f>IF(ISNUMBER((Datos!P19-Datos!Q19+O19)/(Datos!R19-Datos!P19+Datos!Q19-O19)),(Datos!P19-Datos!Q19+O19)/(Datos!R19-Datos!P19+Datos!Q19-O19)," - ")</f>
        <v>3.3456790123456794E-2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2103.1999999999998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2489.5343607456662</v>
      </c>
      <c r="G21" s="551">
        <f>IF(ISNUMBER(STDEV(G8:G18)),STDEV(G8:G18),"-")</f>
        <v>2709.059283219915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282.42497528842358</v>
      </c>
      <c r="AK21" s="251"/>
      <c r="AL21" s="251">
        <f>IF(ISNUMBER(STDEV(AL8:AL18)),STDEV(AL8:AL18),"-")</f>
        <v>0</v>
      </c>
      <c r="AM21" s="253">
        <f>IF(ISNUMBER(STDEV(AM8:AM18)),STDEV(AM8:AM18),"-")</f>
        <v>0</v>
      </c>
      <c r="AN21" s="538">
        <f>IF(ISNUMBER(STDEV(AN8:AN18)),STDEV(AN8:AN18),"-")</f>
        <v>0</v>
      </c>
      <c r="AO21" s="539">
        <f>IF(ISNUMBER(STDEV(AO8:AO18)),STDEV(AO8:AO18),"-")</f>
        <v>6.4272345057623816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XwSzi+IQ3oL2Een4VX0pO0Ortz7sHZqTRk4p5F1kIjLH3hnSjU+dprMgoWjluPGGhkP36t006NxoUDJYOyhYWQ==" saltValue="oSq8DzyBZLfGV57TxBWT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1Cq3ZDCSLxNYznrPwHbkCMVVYnLcUUevWp2T7TjNBi4j/WVKYWeZnhgGF8QLVGozBO/9YMx9dqsBJ0rIW/L3OQ==" saltValue="zCuVnB2CBwOXDgJmtbYE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ciZS3MuHRd4IzW1eUDwmWsmsxxzOPEkIlld8vmf/Bu/2QfMg2AcZQn6X2YI8l1jEF99Z32ll5NshwqEnyK3DQ==" saltValue="r4uwBd+yHKfEvT5lyJ+X8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GAVA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0.31678252234359483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0.2239990697105349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BGQ6MV0+dTXFuPDxxRqtFiWIa/H4z69b+EAmpOPZs8mpZXzJSZmc9ZqWoiZfuWrqkRbCQKUJSZoaF9V1oNtOQ==" saltValue="vVOdxO2zTAJ54HWiSdKu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Sutt/hJQgeThsMGtIO/TT9cGUuyfWnNgLAw8H5VmBOZGZueM+IVgYfv5Gpe1PJMQ0i9aJxoVSvUdO3hYiobbw==" saltValue="eCGDBEG67ZZI0qpC2CuW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GAVA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91</v>
      </c>
      <c r="D10" s="403">
        <f>IF(ISNUMBER(C10/Datos!BH10),C10/Datos!BH10," - ")</f>
        <v>91</v>
      </c>
      <c r="E10" s="402">
        <f>IF(ISNUMBER(Datos!J10),Datos!J10," - ")</f>
        <v>26</v>
      </c>
      <c r="F10" s="403">
        <f>IF(ISNUMBER(E10/B10),E10/B10," - ")</f>
        <v>26</v>
      </c>
      <c r="G10" s="402">
        <f>IF(ISNUMBER(Datos!K10),Datos!K10," - ")</f>
        <v>25</v>
      </c>
      <c r="H10" s="403">
        <f>IF(ISNUMBER(G10/B10),G10/B10," - ")</f>
        <v>25</v>
      </c>
      <c r="I10" s="402">
        <f>IF(ISNUMBER(Datos!L10),Datos!L10," - ")</f>
        <v>92</v>
      </c>
      <c r="J10" s="403">
        <f>IF(ISNUMBER(I10/B10),I10/B10," - ")</f>
        <v>92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17156</v>
      </c>
      <c r="D12" s="403">
        <f>IF(ISNUMBER(C12/Datos!BH12),C12/Datos!BH12," - ")</f>
        <v>1906.2222222222222</v>
      </c>
      <c r="E12" s="402">
        <f>IF(ISNUMBER(IF(J_V="SI",Datos!J12,Datos!J12+Datos!Z12)),IF(J_V="SI",Datos!J12,Datos!J12+Datos!Z12)," - ")</f>
        <v>2346</v>
      </c>
      <c r="F12" s="403">
        <f>IF(ISNUMBER(E12/B12),E12/B12," - ")</f>
        <v>260.66666666666669</v>
      </c>
      <c r="G12" s="402">
        <f>IF(ISNUMBER(IF(J_V="SI",Datos!K12,Datos!K12+Datos!AA12)),IF(J_V="SI",Datos!K12,Datos!K12+Datos!AA12)," - ")</f>
        <v>1989</v>
      </c>
      <c r="H12" s="403">
        <f>IF(ISNUMBER(G12/B12),G12/B12," - ")</f>
        <v>221</v>
      </c>
      <c r="I12" s="402">
        <f>IF(ISNUMBER(IF(J_V="SI",Datos!L12,Datos!L12+Datos!AB12)),IF(J_V="SI",Datos!L12,Datos!L12+Datos!AB12)," - ")</f>
        <v>17444</v>
      </c>
      <c r="J12" s="403">
        <f>IF(ISNUMBER(I12/B12),I12/B12," - ")</f>
        <v>1938.2222222222222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17247</v>
      </c>
      <c r="D13" s="849" t="str">
        <f>IF(ISNUMBER(C13/Datos!BI13),C13/Datos!BI13," - ")</f>
        <v xml:space="preserve"> - </v>
      </c>
      <c r="E13" s="848">
        <f>SUBTOTAL(9,E8:E12)</f>
        <v>2372</v>
      </c>
      <c r="F13" s="849">
        <f>IF(ISNUMBER(E13/B13),E13/B13," - ")</f>
        <v>237.2</v>
      </c>
      <c r="G13" s="848">
        <f>SUBTOTAL(9,G8:G12)</f>
        <v>2014</v>
      </c>
      <c r="H13" s="849">
        <f>IF(ISNUMBER(G13/B13),G13/B13," - ")</f>
        <v>201.4</v>
      </c>
      <c r="I13" s="848">
        <f>SUBTOTAL(9,I8:I12)</f>
        <v>17536</v>
      </c>
      <c r="J13" s="849">
        <f>IF(ISNUMBER(I13/B13),I13/B13," - ")</f>
        <v>1753.6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4972</v>
      </c>
      <c r="D16" s="403">
        <f>IF(ISNUMBER(C16/Datos!BH16),C16/Datos!BH16," - ")</f>
        <v>552.44444444444446</v>
      </c>
      <c r="E16" s="402">
        <f>IF(ISNUMBER(IF(D_I="SI",Datos!J16,Datos!J16+Datos!AD16)),IF(D_I="SI",Datos!J16,Datos!J16+Datos!AD16)," - ")</f>
        <v>2113</v>
      </c>
      <c r="F16" s="403">
        <f>IF(ISNUMBER(E16/B16),E16/B16," - ")</f>
        <v>234.77777777777777</v>
      </c>
      <c r="G16" s="402">
        <f>IF(ISNUMBER(IF(D_I="SI",Datos!K16,Datos!K16+Datos!AE16)),IF(D_I="SI",Datos!K16,Datos!K16+Datos!AE16)," - ")</f>
        <v>1750</v>
      </c>
      <c r="H16" s="403">
        <f>IF(ISNUMBER(G16/B16),G16/B16," - ")</f>
        <v>194.44444444444446</v>
      </c>
      <c r="I16" s="402">
        <f>IF(ISNUMBER(IF(D_I="SI",Datos!L16,Datos!L16+Datos!AF16)),IF(D_I="SI",Datos!L16,Datos!L16+Datos!AF16)," - ")</f>
        <v>4766</v>
      </c>
      <c r="J16" s="403">
        <f>IF(ISNUMBER(I16/B16),I16/B16," - ")</f>
        <v>529.55555555555554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195</v>
      </c>
      <c r="D17" s="403">
        <f>IF(ISNUMBER(C17/Datos!BH17),C17/Datos!BH17," - ")</f>
        <v>195</v>
      </c>
      <c r="E17" s="402">
        <f>IF(ISNUMBER(IF(D_I="SI",Datos!J17,Datos!J17+Datos!AD17)),IF(D_I="SI",Datos!J17,Datos!J17+Datos!AD17)," - ")</f>
        <v>167</v>
      </c>
      <c r="F17" s="403">
        <f>IF(ISNUMBER(E17/B17),E17/B17," - ")</f>
        <v>167</v>
      </c>
      <c r="G17" s="402">
        <f>IF(ISNUMBER(IF(D_I="SI",Datos!K17,Datos!K17+Datos!AE17)),IF(D_I="SI",Datos!K17,Datos!K17+Datos!AE17)," - ")</f>
        <v>141</v>
      </c>
      <c r="H17" s="403">
        <f>IF(ISNUMBER(G17/B17),G17/B17," - ")</f>
        <v>141</v>
      </c>
      <c r="I17" s="402">
        <f>IF(ISNUMBER(IF(D_I="SI",Datos!L17,Datos!L17+Datos!AF17)),IF(D_I="SI",Datos!L17,Datos!L17+Datos!AF17)," - ")</f>
        <v>221</v>
      </c>
      <c r="J17" s="403">
        <f>IF(ISNUMBER(I17/B17),I17/B17," - ")</f>
        <v>221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10</v>
      </c>
      <c r="C18" s="848">
        <f>SUBTOTAL(9,C14:C17)</f>
        <v>5167</v>
      </c>
      <c r="D18" s="849" t="str">
        <f>IF(ISNUMBER(C18/Datos!BI18),C18/Datos!BI18," - ")</f>
        <v xml:space="preserve"> - </v>
      </c>
      <c r="E18" s="848">
        <f>SUBTOTAL(9,E14:E17)</f>
        <v>2280</v>
      </c>
      <c r="F18" s="849">
        <f>IF(ISNUMBER(E18/B18),E18/B18," - ")</f>
        <v>228</v>
      </c>
      <c r="G18" s="848">
        <f>SUBTOTAL(9,G14:G17)</f>
        <v>1891</v>
      </c>
      <c r="H18" s="849">
        <f>IF(ISNUMBER(G18/B18),G18/B18," - ")</f>
        <v>189.1</v>
      </c>
      <c r="I18" s="848">
        <f>SUBTOTAL(9,I14:I17)</f>
        <v>4987</v>
      </c>
      <c r="J18" s="849">
        <f>IF(ISNUMBER(I18/B18),I18/B18," - ")</f>
        <v>498.7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22414</v>
      </c>
      <c r="D19" s="794" t="str">
        <f>IF(ISNUMBER(C19/Datos!BI19),C19/Datos!BI19," - ")</f>
        <v xml:space="preserve"> - </v>
      </c>
      <c r="E19" s="793">
        <f>SUBTOTAL(9,E9:E18)</f>
        <v>4652</v>
      </c>
      <c r="F19" s="794">
        <f>IF(ISNUMBER(E19/B19),E19/B19," - ")</f>
        <v>465.2</v>
      </c>
      <c r="G19" s="793">
        <f>SUBTOTAL(9,G9:G18)</f>
        <v>3905</v>
      </c>
      <c r="H19" s="794">
        <f>IF(ISNUMBER(G19/B19),G19/B19," - ")</f>
        <v>390.5</v>
      </c>
      <c r="I19" s="793">
        <f>SUBTOTAL(9,I9:I18)</f>
        <v>22523</v>
      </c>
      <c r="J19" s="794">
        <f>IF(ISNUMBER(I19/B19),I19/B19," - ")</f>
        <v>2252.3000000000002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XHl5mA6EH4rHujFdIvkiFfL0to8svt7RXjTJ4SOs3IOW51gpmCfW+ixl2AeGXI4bJ1xzT04Uj0LhunxyAoXLg==" saltValue="r1ALpatVzlfPADW257u9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GAVA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91</v>
      </c>
      <c r="G10" s="683">
        <f>IF(ISNUMBER(Datos!I10),Datos!I10," - ")</f>
        <v>91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92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7.36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7925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631</v>
      </c>
      <c r="AM12" s="689">
        <f>IF(ISNUMBER(Datos!N12+DatosP!N16),Datos!N12+DatosP!N16," - ")</f>
        <v>635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17.54047259929613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5.0642980246586242E-2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91</v>
      </c>
      <c r="G13" s="937">
        <f t="shared" si="0"/>
        <v>91</v>
      </c>
      <c r="H13" s="937">
        <f t="shared" si="0"/>
        <v>0</v>
      </c>
      <c r="I13" s="939">
        <f t="shared" si="0"/>
        <v>0</v>
      </c>
      <c r="J13" s="938">
        <f t="shared" si="0"/>
        <v>0</v>
      </c>
      <c r="K13" s="938">
        <f t="shared" si="0"/>
        <v>0</v>
      </c>
      <c r="L13" s="940">
        <f t="shared" si="0"/>
        <v>0</v>
      </c>
      <c r="M13" s="940">
        <f t="shared" si="0"/>
        <v>0</v>
      </c>
      <c r="N13" s="938">
        <f t="shared" si="0"/>
        <v>625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237</v>
      </c>
      <c r="AE13" s="938">
        <f t="shared" si="1"/>
        <v>0</v>
      </c>
      <c r="AF13" s="938">
        <f t="shared" si="1"/>
        <v>92</v>
      </c>
      <c r="AG13" s="938">
        <f t="shared" si="1"/>
        <v>0</v>
      </c>
      <c r="AH13" s="938">
        <f t="shared" si="1"/>
        <v>7925</v>
      </c>
      <c r="AI13" s="938">
        <f t="shared" si="1"/>
        <v>0</v>
      </c>
      <c r="AJ13" s="938">
        <f t="shared" si="1"/>
        <v>0</v>
      </c>
      <c r="AK13" s="938">
        <f t="shared" si="1"/>
        <v>0</v>
      </c>
      <c r="AL13" s="938">
        <f t="shared" si="1"/>
        <v>638</v>
      </c>
      <c r="AM13" s="938">
        <f t="shared" si="1"/>
        <v>640</v>
      </c>
      <c r="AN13" s="938">
        <f t="shared" si="1"/>
        <v>0</v>
      </c>
      <c r="AO13" s="938">
        <f t="shared" si="1"/>
        <v>0</v>
      </c>
      <c r="AP13" s="943">
        <f>IF(ISNUMBER(((Datos!L13/Datos!K13)*11)/factor_trimestre),((Datos!L13/Datos!K13)*11)/factor_trimestre," - ")</f>
        <v>17.650356778797146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-0.27472527472527475</v>
      </c>
      <c r="AU13" s="938" t="str">
        <f>IF(ISNUMBER((DatosP!#REF!-DatosP!#REF!+DatosP!#REF!)/(DatosP!#REF!+DatosP!#REF!-DatosP!#REF!-DatosP!#REF!)),(DatosP!#REF!-DatosP!#REF!+DatosP!#REF!)/(DatosP!#REF!+DatosP!#REF!-DatosP!#REF!-DatosP!#REF!)," - ")</f>
        <v xml:space="preserve"> - </v>
      </c>
      <c r="AV13" s="944">
        <f>SUBTOTAL(9,AV9:AV12)</f>
        <v>5.0642980246586242E-2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5.2744579587519826</v>
      </c>
      <c r="AQ18" s="943">
        <f>IF(ISNUMBER(((Datos!M18/Datos!L18)*11)/factor_trimestre),((Datos!M18/Datos!L18)*11)/factor_trimestre," - ")</f>
        <v>0.10427110487266894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-0.24074074074074073</v>
      </c>
      <c r="AW18" s="945">
        <f>IF(ISNUMBER((Datos!Q18-Datos!R18)/(Datos!S18-Datos!Q18+Datos!R18)),(Datos!Q18-Datos!R18)/(Datos!S18-Datos!Q18+Datos!R18)," - ")</f>
        <v>-4.3500125722906714E-2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91</v>
      </c>
      <c r="G19" s="950">
        <f t="shared" si="4"/>
        <v>91</v>
      </c>
      <c r="H19" s="950">
        <f t="shared" si="4"/>
        <v>0</v>
      </c>
      <c r="I19" s="951">
        <f t="shared" si="4"/>
        <v>0</v>
      </c>
      <c r="J19" s="952">
        <f t="shared" si="4"/>
        <v>0</v>
      </c>
      <c r="K19" s="952">
        <f t="shared" si="4"/>
        <v>0</v>
      </c>
      <c r="L19" s="952">
        <f t="shared" si="4"/>
        <v>0</v>
      </c>
      <c r="M19" s="952">
        <f t="shared" si="4"/>
        <v>0</v>
      </c>
      <c r="N19" s="951">
        <f t="shared" si="4"/>
        <v>625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237</v>
      </c>
      <c r="AE19" s="956">
        <f t="shared" si="5"/>
        <v>0</v>
      </c>
      <c r="AF19" s="957">
        <f t="shared" si="5"/>
        <v>92</v>
      </c>
      <c r="AG19" s="957">
        <f t="shared" si="5"/>
        <v>0</v>
      </c>
      <c r="AH19" s="957">
        <f t="shared" si="5"/>
        <v>7925</v>
      </c>
      <c r="AI19" s="957">
        <f t="shared" si="5"/>
        <v>0</v>
      </c>
      <c r="AJ19" s="958">
        <f t="shared" si="5"/>
        <v>0</v>
      </c>
      <c r="AK19" s="958">
        <f t="shared" si="5"/>
        <v>0</v>
      </c>
      <c r="AL19" s="950">
        <f t="shared" si="5"/>
        <v>638</v>
      </c>
      <c r="AM19" s="950">
        <f t="shared" si="5"/>
        <v>640</v>
      </c>
      <c r="AN19" s="950">
        <f t="shared" si="5"/>
        <v>0</v>
      </c>
      <c r="AO19" s="950">
        <f t="shared" si="5"/>
        <v>0</v>
      </c>
      <c r="AP19" s="950">
        <f>IF(ISNUMBER(((Datos!L19/Datos!K19)*11)/factor_trimestre),((Datos!L19/Datos!K19)*11)/factor_trimestre," - ")</f>
        <v>11.576433947573319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-0.27472527472527475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3.3456790123456794E-2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4.8027769744874336</v>
      </c>
      <c r="F21" s="735">
        <f>IF(ISNUMBER(STDEV(F8:F18)),STDEV(F8:F18),"-")</f>
        <v>52.538874496255943</v>
      </c>
      <c r="G21" s="736">
        <f>IF(ISNUMBER(STDEV(G8:G18)),STDEV(G8:G18),"-")</f>
        <v>52.538874496255943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364.33043609705004</v>
      </c>
      <c r="AM21" s="735"/>
      <c r="AN21" s="735">
        <f>IF(ISNUMBER(STDEV(AN8:AN18)),STDEV(AN8:AN18),"-")</f>
        <v>0</v>
      </c>
      <c r="AO21" s="741">
        <f>IF(ISNUMBER(STDEV(AO8:AO18)),STDEV(AO8:AO18),"-")</f>
        <v>0</v>
      </c>
      <c r="AP21" s="778">
        <f>IF(ISNUMBER(STDEV(AP8:AP18)),STDEV(AP8:AP18),"-")</f>
        <v>6.5670453267604287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J+jcs9bmhRosGyxw20WlyszYvf3HghMq8WBls+nfcE6K6FjqKSqp+j32b6bUf7BkqVKcvZ70Atstb//w7FS+g==" saltValue="mqkgmBgyhUbWe0hSGQBQ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GAVA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R5hlmiot3+SYgNTCtM8/5TQ1Cd/FdbM1Aq8JRJKSRdu2JuDx5IJPVabNVgceeltTilyFDI8kNnvI0JkLDdR8w==" saltValue="jruCwsjnMA4rcXDptrmX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GAVA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7</v>
      </c>
      <c r="E10" s="403">
        <f>IF(ISNUMBER(D10/B10),D10/B10," - ")</f>
        <v>7</v>
      </c>
      <c r="F10" s="402">
        <f>IF(ISNUMBER(Datos!N10),Datos!N10," - ")</f>
        <v>5</v>
      </c>
      <c r="G10" s="403">
        <f>IF(ISNUMBER(F10/B10),F10/B10," - ")</f>
        <v>5</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631</v>
      </c>
      <c r="E12" s="403">
        <f t="shared" si="0"/>
        <v>70.111111111111114</v>
      </c>
      <c r="F12" s="402">
        <f>IF(ISNUMBER(Datos!N12),Datos!N12," - ")</f>
        <v>635</v>
      </c>
      <c r="G12" s="403">
        <f t="shared" si="1"/>
        <v>70.555555555555557</v>
      </c>
      <c r="H12" s="402">
        <f>IF(ISNUMBER(Datos!O12),Datos!O12," - ")</f>
        <v>771</v>
      </c>
      <c r="I12" s="403">
        <f t="shared" si="2"/>
        <v>85.666666666666671</v>
      </c>
      <c r="BZ12" s="1185">
        <f>Datos!EZ12</f>
        <v>0</v>
      </c>
    </row>
    <row r="13" spans="1:78" ht="14.25" thickTop="1" thickBot="1">
      <c r="A13" s="847" t="str">
        <f>Datos!A13</f>
        <v>TOTAL</v>
      </c>
      <c r="B13" s="848">
        <f>Datos!AP13</f>
        <v>10</v>
      </c>
      <c r="C13" s="850">
        <f>Datos!AR13</f>
        <v>10</v>
      </c>
      <c r="D13" s="848">
        <f>SUBTOTAL(9,D9:D12)</f>
        <v>638</v>
      </c>
      <c r="E13" s="849">
        <f t="shared" si="0"/>
        <v>63.8</v>
      </c>
      <c r="F13" s="848">
        <f>SUBTOTAL(9,F9:F12)</f>
        <v>640</v>
      </c>
      <c r="G13" s="849">
        <f t="shared" si="1"/>
        <v>64</v>
      </c>
      <c r="H13" s="848">
        <f>SUBTOTAL(9,H9:H12)</f>
        <v>776</v>
      </c>
      <c r="I13" s="849">
        <f>IF(ISNUMBER(H13/B13),H13/B13," - ")</f>
        <v>77.599999999999994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252</v>
      </c>
      <c r="E16" s="403">
        <f t="shared" si="3"/>
        <v>28</v>
      </c>
      <c r="F16" s="402">
        <f>IF(ISNUMBER(Datos!N16),Datos!N16," - ")</f>
        <v>995</v>
      </c>
      <c r="G16" s="403">
        <f t="shared" si="4"/>
        <v>110.55555555555556</v>
      </c>
      <c r="H16" s="402">
        <f>IF(ISNUMBER(Datos!O16),Datos!O16," - ")</f>
        <v>2</v>
      </c>
      <c r="I16" s="403">
        <f t="shared" si="5"/>
        <v>0.22222222222222221</v>
      </c>
      <c r="BZ16" s="1185">
        <f>Datos!EZ16</f>
        <v>0</v>
      </c>
    </row>
    <row r="17" spans="1:78" ht="13.5" thickBot="1">
      <c r="A17" s="401" t="str">
        <f>Datos!A17</f>
        <v>Jdos. Violencia contra la mujer/Secc Viol. TI.</v>
      </c>
      <c r="B17" s="426">
        <f>Datos!AO17</f>
        <v>1</v>
      </c>
      <c r="C17" s="427">
        <f>Datos!AQ17</f>
        <v>1</v>
      </c>
      <c r="D17" s="402">
        <f>IF(ISNUMBER(Datos!M17),Datos!M17," - ")</f>
        <v>8</v>
      </c>
      <c r="E17" s="403">
        <f>IF(ISNUMBER(D17/B17),D17/B17," - ")</f>
        <v>8</v>
      </c>
      <c r="F17" s="402">
        <f>IF(ISNUMBER(Datos!N17),Datos!N17," - ")</f>
        <v>73</v>
      </c>
      <c r="G17" s="403">
        <f>IF(ISNUMBER(F17/B17),F17/B17," - ")</f>
        <v>73</v>
      </c>
      <c r="H17" s="402">
        <f>IF(ISNUMBER(Datos!O17),Datos!O17," - ")</f>
        <v>0</v>
      </c>
      <c r="I17" s="403">
        <f t="shared" si="5"/>
        <v>0</v>
      </c>
      <c r="BZ17" s="1185">
        <f>Datos!EZ17</f>
        <v>0</v>
      </c>
    </row>
    <row r="18" spans="1:78" ht="14.25" thickTop="1" thickBot="1">
      <c r="A18" s="847" t="str">
        <f>Datos!A18</f>
        <v>TOTAL</v>
      </c>
      <c r="B18" s="848">
        <f>Datos!AP18</f>
        <v>10</v>
      </c>
      <c r="C18" s="850">
        <f>Datos!AR18</f>
        <v>10</v>
      </c>
      <c r="D18" s="848">
        <f>SUBTOTAL(9,D15:D17)</f>
        <v>260</v>
      </c>
      <c r="E18" s="849">
        <f t="shared" si="3"/>
        <v>26</v>
      </c>
      <c r="F18" s="848">
        <f>SUBTOTAL(9,F15:F17)</f>
        <v>1068</v>
      </c>
      <c r="G18" s="849">
        <f t="shared" si="4"/>
        <v>106.8</v>
      </c>
      <c r="H18" s="848">
        <f>SUBTOTAL(9,H15:H17)</f>
        <v>2</v>
      </c>
      <c r="I18" s="849">
        <f>IF(ISNUMBER(H18/B18),H18/B18," - ")</f>
        <v>0.2</v>
      </c>
      <c r="BZ18" s="1185"/>
    </row>
    <row r="19" spans="1:78" ht="14.25" thickTop="1" thickBot="1">
      <c r="A19" s="792" t="str">
        <f>Datos!A19</f>
        <v>TOTAL JURISDICCIONES</v>
      </c>
      <c r="B19" s="793">
        <f>Datos!AP19</f>
        <v>10</v>
      </c>
      <c r="C19" s="793">
        <f>Datos!AR19</f>
        <v>10</v>
      </c>
      <c r="D19" s="793">
        <f>SUBTOTAL(9,D8:D18)</f>
        <v>898</v>
      </c>
      <c r="E19" s="794">
        <f>IF(ISNUMBER(D19/B19),D19/B19," - ")</f>
        <v>89.8</v>
      </c>
      <c r="F19" s="793">
        <f>SUBTOTAL(9,F8:F18)</f>
        <v>1708</v>
      </c>
      <c r="G19" s="794">
        <f>IF(ISNUMBER(F19/B19),F19/B19," - ")</f>
        <v>170.8</v>
      </c>
      <c r="H19" s="793">
        <f>SUBTOTAL(9,H8:H18)</f>
        <v>778</v>
      </c>
      <c r="I19" s="794">
        <f>IF(ISNUMBER(H19/B19),H19/B19," - ")</f>
        <v>77.8</v>
      </c>
    </row>
    <row r="22" spans="1:78">
      <c r="A22" s="390" t="str">
        <f>Criterios!A4</f>
        <v>Fecha Informe: 09 dic. 2025</v>
      </c>
    </row>
    <row r="27" spans="1:78">
      <c r="A27" s="413"/>
    </row>
  </sheetData>
  <sheetProtection algorithmName="SHA-512" hashValue="BUq3FOjQkqLdxOofaAbVkKkAi+6vF3+X7lFz45oTymFaySOc9xi20WBq1gCNzpWqbUzWEJ11+00CIWN4HhQt2g==" saltValue="zd5CXGe2BW/BwjnV5PuM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GAVA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0</v>
      </c>
      <c r="D10" s="407">
        <f>IF(ISNUMBER(Datos!R10),Datos!R10," - ")</f>
        <v>77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619</v>
      </c>
      <c r="C12" s="433">
        <f>IF(ISNUMBER(Datos!Q12),Datos!Q12," - ")</f>
        <v>237</v>
      </c>
      <c r="D12" s="407">
        <f>IF(ISNUMBER(Datos!R12),Datos!R12," - ")</f>
        <v>7925</v>
      </c>
    </row>
    <row r="13" spans="1:4" ht="14.25" thickTop="1" thickBot="1">
      <c r="A13" s="847" t="str">
        <f>Datos!A13</f>
        <v>TOTAL</v>
      </c>
      <c r="B13" s="848">
        <f>SUBTOTAL(9,B9:B12)</f>
        <v>625</v>
      </c>
      <c r="C13" s="852">
        <f>SUBTOTAL(9,C9:C12)</f>
        <v>237</v>
      </c>
      <c r="D13" s="850">
        <f>SUBTOTAL(9,D9:D12)</f>
        <v>8002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77</v>
      </c>
      <c r="C16" s="433">
        <f>IF(ISNUMBER(Datos!Q16),Datos!Q16," - ")</f>
        <v>196</v>
      </c>
      <c r="D16" s="407">
        <f>IF(ISNUMBER(Datos!R16),Datos!R16," - ")</f>
        <v>365</v>
      </c>
    </row>
    <row r="17" spans="1:4" ht="13.5" thickBot="1">
      <c r="A17" s="401" t="str">
        <f>Datos!A17</f>
        <v>Jdos. Violencia contra la mujer/Secc Viol. TI.</v>
      </c>
      <c r="B17" s="432">
        <f>IF(ISNUMBER(Datos!P17),Datos!P17," - ")</f>
        <v>2</v>
      </c>
      <c r="C17" s="433">
        <f>IF(ISNUMBER(Datos!Q17),Datos!Q17," - ")</f>
        <v>0</v>
      </c>
      <c r="D17" s="407">
        <f>IF(ISNUMBER(Datos!R17),Datos!R17," - ")</f>
        <v>4</v>
      </c>
    </row>
    <row r="18" spans="1:4" ht="14.25" thickTop="1" thickBot="1">
      <c r="A18" s="847" t="str">
        <f>Datos!A18</f>
        <v>TOTAL</v>
      </c>
      <c r="B18" s="848">
        <f>SUBTOTAL(9,B15:B17)</f>
        <v>79</v>
      </c>
      <c r="C18" s="852">
        <f>SUBTOTAL(9,C15:C17)</f>
        <v>196</v>
      </c>
      <c r="D18" s="850">
        <f>SUBTOTAL(9,D15:D17)</f>
        <v>369</v>
      </c>
    </row>
    <row r="19" spans="1:4" ht="16.5" customHeight="1" thickTop="1" thickBot="1">
      <c r="A19" s="792" t="str">
        <f>Datos!A19</f>
        <v>TOTAL JURISDICCIONES</v>
      </c>
      <c r="B19" s="797">
        <f>SUBTOTAL(9,B8:B18)</f>
        <v>704</v>
      </c>
      <c r="C19" s="798">
        <f>SUBTOTAL(9,C8:C18)</f>
        <v>433</v>
      </c>
      <c r="D19" s="799">
        <f>SUBTOTAL(9,D8:D18)</f>
        <v>8371</v>
      </c>
    </row>
    <row r="20" spans="1:4" ht="7.5" customHeight="1"/>
    <row r="21" spans="1:4" ht="6" customHeight="1"/>
    <row r="22" spans="1:4">
      <c r="A22" s="390" t="str">
        <f>Criterios!A4</f>
        <v>Fecha Informe: 09 dic. 2025</v>
      </c>
    </row>
    <row r="27" spans="1:4">
      <c r="A27" s="413"/>
    </row>
  </sheetData>
  <sheetProtection algorithmName="SHA-512" hashValue="YwUl9Yf01vDqyEQZC6zlSZwy3SoERiY6+Xwf6ON0wNK11b6JcBSJo6QhiEyoYYaYOvItULW8PYXv2x9kObTcSA==" saltValue="yNS+ih3fzMP3sahJbGf2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GAVA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0.22972972972972974</v>
      </c>
      <c r="C10" s="455">
        <f>IF(ISNUMBER((Datos!J10-Datos!T10)/Datos!T10),(Datos!J10-Datos!T10)/Datos!T10," - ")</f>
        <v>0.3</v>
      </c>
      <c r="D10" s="455">
        <f>IF(ISNUMBER((Datos!K10-Datos!U10)/Datos!U10),(Datos!K10-Datos!U10)/Datos!U10," - ")</f>
        <v>0.13636363636363635</v>
      </c>
      <c r="E10" s="455">
        <f>IF(ISNUMBER((Datos!L10-Datos!V10)/Datos!V10),(Datos!L10-Datos!V10)/Datos!V10," - ")</f>
        <v>0.27777777777777779</v>
      </c>
      <c r="F10" s="455">
        <f>IF(ISNUMBER((Datos!M10-Datos!W10)/Datos!W10),(Datos!M10-Datos!W10)/Datos!W10," - ")</f>
        <v>1.3333333333333333</v>
      </c>
      <c r="G10" s="456">
        <f>IF(ISNUMBER((Datos!N10-Datos!X10)/Datos!X10),(Datos!N10-Datos!X10)/Datos!X10," - ")</f>
        <v>0.25</v>
      </c>
      <c r="H10" s="454">
        <f>IF(ISNUMBER(((NºAsuntos!G10/NºAsuntos!E10)-Datos!BD10)/Datos!BD10),((NºAsuntos!G10/NºAsuntos!E10)-Datos!BD10)/Datos!BD10," - ")</f>
        <v>-0.12587412587412591</v>
      </c>
      <c r="I10" s="455">
        <f>IF(ISNUMBER(((NºAsuntos!I10/NºAsuntos!G10)-Datos!BE10)/Datos!BE10),((NºAsuntos!I10/NºAsuntos!G10)-Datos!BE10)/Datos!BE10," - ")</f>
        <v>0.12444444444444443</v>
      </c>
      <c r="J10" s="460">
        <f>IF(ISNUMBER((('Resol  Asuntos'!D10/NºAsuntos!G10)-Datos!BF10)/Datos!BF10),(('Resol  Asuntos'!D10/NºAsuntos!G10)-Datos!BF10)/Datos!BF10," - ")</f>
        <v>1.0533333333333337</v>
      </c>
      <c r="K10" s="461">
        <f>IF(ISNUMBER((((NºAsuntos!C10+NºAsuntos!E10)/NºAsuntos!G10)-Datos!BG10)/Datos!BG10),(((NºAsuntos!C10+NºAsuntos!E10)/NºAsuntos!G10)-Datos!BG10)/Datos!BG10," - ")</f>
        <v>9.5319148936170203E-2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8.7267887698840224E-2</v>
      </c>
      <c r="C12" s="455">
        <f>IF(ISNUMBER(
   IF(J_V="SI",(Datos!J12-Datos!T12)/Datos!T12,(Datos!J12+Datos!Z12-(Datos!T12+Datos!AH12))/(Datos!T12+Datos!AH12))
     ),IF(J_V="SI",(Datos!J12-Datos!T12)/Datos!T12,(Datos!J12+Datos!Z12-(Datos!T12+Datos!AH12))/(Datos!T12+Datos!AH12))," - ")</f>
        <v>-0.49903907751441384</v>
      </c>
      <c r="D12" s="455">
        <f>IF(ISNUMBER(
   IF(J_V="SI",(Datos!K12-Datos!U12)/Datos!U12,(Datos!K12+Datos!AA12-(Datos!U12+Datos!AI12))/(Datos!U12+Datos!AI12))
     ),IF(J_V="SI",(Datos!K12-Datos!U12)/Datos!U12,(Datos!K12+Datos!AA12-(Datos!U12+Datos!AI12))/(Datos!U12+Datos!AI12))," - ")</f>
        <v>-0.46761241970021411</v>
      </c>
      <c r="E12" s="455">
        <f>IF(ISNUMBER(
   IF(J_V="SI",(Datos!L12-Datos!V12)/Datos!V12,(Datos!L12+Datos!AB12-(Datos!V12+Datos!AJ12))/(Datos!V12+Datos!AJ12))
     ),IF(J_V="SI",(Datos!L12-Datos!V12)/Datos!V12,(Datos!L12+Datos!AB12-(Datos!V12+Datos!AJ12))/(Datos!V12+Datos!AJ12))," - ")</f>
        <v>4.2927179241898837E-2</v>
      </c>
      <c r="F12" s="455">
        <f>IF(ISNUMBER((Datos!M12-Datos!W12)/Datos!W12),(Datos!M12-Datos!W12)/Datos!W12," - ")</f>
        <v>-0.11251758087201125</v>
      </c>
      <c r="G12" s="456">
        <f>IF(ISNUMBER((Datos!N12-Datos!X12)/Datos!X12),(Datos!N12-Datos!X12)/Datos!X12," - ")</f>
        <v>-7.8374455732946297E-2</v>
      </c>
      <c r="H12" s="454">
        <f>IF(ISNUMBER(((NºAsuntos!G12/NºAsuntos!E12)-Datos!BD12)/Datos!BD12),((NºAsuntos!G12/NºAsuntos!E12)-Datos!BD12)/Datos!BD12," - ")</f>
        <v>6.2732753002513783E-2</v>
      </c>
      <c r="I12" s="455">
        <f>IF(ISNUMBER(((NºAsuntos!I12/NºAsuntos!G12)-Datos!BE12)/Datos!BE12),((NºAsuntos!I12/NºAsuntos!G12)-Datos!BE12)/Datos!BE12," - ")</f>
        <v>0.95896226327186251</v>
      </c>
      <c r="J12" s="460">
        <f>IF(ISNUMBER((('Resol  Asuntos'!D12/NºAsuntos!G12)-Datos!BF12)/Datos!BF12),(('Resol  Asuntos'!D12/NºAsuntos!G12)-Datos!BF12)/Datos!BF12," - ")</f>
        <v>0.72021298564455727</v>
      </c>
      <c r="K12" s="461">
        <f>IF(ISNUMBER((((NºAsuntos!C12+NºAsuntos!E12)/NºAsuntos!G12)-Datos!BG12)/Datos!BG12),(((NºAsuntos!C12+NºAsuntos!E12)/NºAsuntos!G12)-Datos!BG12)/Datos!BG12," - ")</f>
        <v>0.79020660942386733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8.7932883365924433E-2</v>
      </c>
      <c r="C13" s="854">
        <f>IF(ISNUMBER(
   IF(J_V="SI",(Datos!J13-Datos!T13)/Datos!T13,(Datos!J13+Datos!Z13-(Datos!T13+Datos!AH13))/(Datos!T13+Datos!AH13))
     ),IF(J_V="SI",(Datos!J13-Datos!T13)/Datos!T13,(Datos!J13+Datos!Z13-(Datos!T13+Datos!AH13))/(Datos!T13+Datos!AH13))," - ")</f>
        <v>-0.49564108016159897</v>
      </c>
      <c r="D13" s="854">
        <f>IF(ISNUMBER(
   IF(J_V="SI",(Datos!K13-Datos!U13)/Datos!U13,(Datos!K13+Datos!AA13-(Datos!U13+Datos!AI13))/(Datos!U13+Datos!AI13))
     ),IF(J_V="SI",(Datos!K13-Datos!U13)/Datos!U13,(Datos!K13+Datos!AA13-(Datos!U13+Datos!AI13))/(Datos!U13+Datos!AI13))," - ")</f>
        <v>-0.46407663650878128</v>
      </c>
      <c r="E13" s="854">
        <f>IF(ISNUMBER(
   IF(J_V="SI",(Datos!L13-Datos!V13)/Datos!V13,(Datos!L13+Datos!AB13-(Datos!V13+Datos!AJ13))/(Datos!V13+Datos!AJ13))
     ),IF(J_V="SI",(Datos!L13-Datos!V13)/Datos!V13,(Datos!L13+Datos!AB13-(Datos!V13+Datos!AJ13))/(Datos!V13+Datos!AJ13))," - ")</f>
        <v>4.3933801643052744E-2</v>
      </c>
      <c r="F13" s="855">
        <f>IF(ISNUMBER((Datos!M13-Datos!W13)/Datos!W13),(Datos!M13-Datos!W13)/Datos!W13," - ")</f>
        <v>-0.10644257703081232</v>
      </c>
      <c r="G13" s="856">
        <f>IF(ISNUMBER((Datos!N13-Datos!X13)/Datos!X13),(Datos!N13-Datos!X13)/Datos!X13," - ")</f>
        <v>-7.647907647907648E-2</v>
      </c>
      <c r="H13" s="856">
        <f>IF(ISNUMBER(((NºAsuntos!G13/NºAsuntos!E13)-Datos!BD13)/Datos!BD13),((NºAsuntos!G13/NºAsuntos!E13)-Datos!BD13)/Datos!BD13," - ")</f>
        <v>6.2583296163238489E-2</v>
      </c>
      <c r="I13" s="856">
        <f>IF(ISNUMBER(((NºAsuntos!I13/NºAsuntos!G13)-Datos!BE13)/Datos!BE13),((NºAsuntos!I13/NºAsuntos!G13)-Datos!BE13)/Datos!BE13," - ")</f>
        <v>0.9479161998880794</v>
      </c>
      <c r="J13" s="856">
        <f>IF(ISNUMBER((('Resol  Asuntos'!D13/NºAsuntos!G13)-Datos!BF13)/Datos!BF13),(('Resol  Asuntos'!D13/NºAsuntos!G13)-Datos!BF13)/Datos!BF13," - ")</f>
        <v>0.72033051873877074</v>
      </c>
      <c r="K13" s="856">
        <f>IF(ISNUMBER((((NºAsuntos!C13+NºAsuntos!E13)/NºAsuntos!G13)-Datos!BG13)/Datos!BG13),(((NºAsuntos!C13+NºAsuntos!E13)/NºAsuntos!G13)-Datos!BG13)/Datos!BG13," - ")</f>
        <v>0.78088373601176286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0.37158620689655175</v>
      </c>
      <c r="C16" s="455">
        <f>IF(ISNUMBER(
   IF(D_I="SI",(Datos!J16-Datos!T16)/Datos!T16,(Datos!J16+Datos!AD16-(Datos!T16+Datos!AL16))/(Datos!T16+Datos!AL16))
     ),IF(D_I="SI",(Datos!J16-Datos!T16)/Datos!T16,(Datos!J16+Datos!AD16-(Datos!T16+Datos!AL16))/(Datos!T16+Datos!AL16))," - ")</f>
        <v>-0.19901440485216074</v>
      </c>
      <c r="D16" s="455">
        <f>IF(ISNUMBER(
   IF(D_I="SI",(Datos!K16-Datos!U16)/Datos!U16,(Datos!K16+Datos!AE16-(Datos!U16+Datos!AM16))/(Datos!U16+Datos!AM16))
     ),IF(D_I="SI",(Datos!K16-Datos!U16)/Datos!U16,(Datos!K16+Datos!AE16-(Datos!U16+Datos!AM16))/(Datos!U16+Datos!AM16))," - ")</f>
        <v>-0.2012779552715655</v>
      </c>
      <c r="E16" s="455">
        <f>IF(ISNUMBER(
   IF(D_I="SI",(Datos!L16-Datos!V16)/Datos!V16,(Datos!L16+Datos!AF16-(Datos!V16+Datos!AN16))/(Datos!V16+Datos!AN16))
     ),IF(D_I="SI",(Datos!L16-Datos!V16)/Datos!V16,(Datos!L16+Datos!AF16-(Datos!V16+Datos!AN16))/(Datos!V16+Datos!AN16))," - ")</f>
        <v>0.1753390875462392</v>
      </c>
      <c r="F16" s="455">
        <f>IF(ISNUMBER((Datos!M16-Datos!W16)/Datos!W16),(Datos!M16-Datos!W16)/Datos!W16," - ")</f>
        <v>0.12</v>
      </c>
      <c r="G16" s="456">
        <f>IF(ISNUMBER((Datos!N16-Datos!X16)/Datos!X16),(Datos!N16-Datos!X16)/Datos!X16," - ")</f>
        <v>-0.30662020905923343</v>
      </c>
      <c r="H16" s="454">
        <f>IF(ISNUMBER(((NºAsuntos!G16/NºAsuntos!E16)-Datos!BD16)/Datos!BD16),((NºAsuntos!G16/NºAsuntos!E16)-Datos!BD16)/Datos!BD16," - ")</f>
        <v>-2.8259564630335366E-3</v>
      </c>
      <c r="I16" s="455">
        <f>IF(ISNUMBER(((NºAsuntos!I16/NºAsuntos!G16)-Datos!BE16)/Datos!BE16),((NºAsuntos!I16/NºAsuntos!G16)-Datos!BE16)/Datos!BE16," - ")</f>
        <v>0.47152453760789143</v>
      </c>
      <c r="J16" s="460">
        <f>IF(ISNUMBER((('Resol  Asuntos'!D16/NºAsuntos!G16)-Datos!BF16)/Datos!BF16),(('Resol  Asuntos'!D16/NºAsuntos!G16)-Datos!BF16)/Datos!BF16," - ")</f>
        <v>0.40223999999999982</v>
      </c>
      <c r="K16" s="461">
        <f>IF(ISNUMBER((((NºAsuntos!C16+NºAsuntos!E16)/NºAsuntos!G16)-Datos!BG16)/Datos!BG16),(((NºAsuntos!C16+NºAsuntos!E16)/NºAsuntos!G16)-Datos!BG16)/Datos!BG16," - ")</f>
        <v>0.41632125179626395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8.9385474860335198E-2</v>
      </c>
      <c r="C17" s="455">
        <f>IF(ISNUMBER(
   IF(D_I="SI",(Datos!J17-Datos!T17)/Datos!T17,(Datos!J17+Datos!AD17-(Datos!T17+Datos!AL17))/(Datos!T17+Datos!AL17))
     ),IF(D_I="SI",(Datos!J17-Datos!T17)/Datos!T17,(Datos!J17+Datos!AD17-(Datos!T17+Datos!AL17))/(Datos!T17+Datos!AL17))," - ")</f>
        <v>-0.32661290322580644</v>
      </c>
      <c r="D17" s="455">
        <f>IF(ISNUMBER(
   IF(D_I="SI",(Datos!K17-Datos!U17)/Datos!U17,(Datos!K17+Datos!AE17-(Datos!U17+Datos!AM17))/(Datos!U17+Datos!AM17))
     ),IF(D_I="SI",(Datos!K17-Datos!U17)/Datos!U17,(Datos!K17+Datos!AE17-(Datos!U17+Datos!AM17))/(Datos!U17+Datos!AM17))," - ")</f>
        <v>-0.3155339805825243</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-0.27272727272727271</v>
      </c>
      <c r="G17" s="456">
        <f>IF(ISNUMBER((Datos!N17-Datos!X17)/Datos!X17),(Datos!N17-Datos!X17)/Datos!X17," - ")</f>
        <v>-0.27</v>
      </c>
      <c r="H17" s="454">
        <f>IF(ISNUMBER(((NºAsuntos!G17/NºAsuntos!E17)-Datos!BD17)/Datos!BD17),((NºAsuntos!G17/NºAsuntos!E17)-Datos!BD17)/Datos!BD17," - ")</f>
        <v>1.6452531829544738E-2</v>
      </c>
      <c r="I17" s="455">
        <f>IF(ISNUMBER(((NºAsuntos!I17/NºAsuntos!G17)-Datos!BE17)/Datos!BE17),((NºAsuntos!I17/NºAsuntos!G17)-Datos!BE17)/Datos!BE17," - ")</f>
        <v>0.46099290780141844</v>
      </c>
      <c r="J17" s="460">
        <f>IF(ISNUMBER((('Resol  Asuntos'!D17/NºAsuntos!G17)-Datos!BF17)/Datos!BF17),(('Resol  Asuntos'!D17/NºAsuntos!G17)-Datos!BF17)/Datos!BF17," - ")</f>
        <v>6.2540296582849805E-2</v>
      </c>
      <c r="K17" s="461">
        <f>IF(ISNUMBER((((NºAsuntos!C17+NºAsuntos!E17)/NºAsuntos!G17)-Datos!BG17)/Datos!BG17),(((NºAsuntos!C17+NºAsuntos!E17)/NºAsuntos!G17)-Datos!BG17)/Datos!BG17," - ")</f>
        <v>0.23859351902602674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0.35830704521556256</v>
      </c>
      <c r="C18" s="854">
        <f>IF(ISNUMBER(
   IF(Criterios!B14="SI",(Datos!J18-Datos!T18)/Datos!T18,(Datos!J18+Datos!AD18-(Datos!T18+Datos!AL18))/(Datos!T18+Datos!AL18))
     ),IF(Criterios!B14="SI",(Datos!J18-Datos!T18)/Datos!T18,(Datos!J18+Datos!AD18-(Datos!T18+Datos!AL18))/(Datos!T18+Datos!AL18))," - ")</f>
        <v>-0.20997920997920999</v>
      </c>
      <c r="D18" s="854">
        <f>IF(ISNUMBER(
   IF(Criterios!B14="SI",(Datos!K18-Datos!U18)/Datos!U18,(Datos!K18+Datos!AE18-(Datos!U18+Datos!AM18))/(Datos!U18+Datos!AM18))
     ),IF(Criterios!B14="SI",(Datos!K18-Datos!U18)/Datos!U18,(Datos!K18+Datos!AE18-(Datos!U18+Datos!AM18))/(Datos!U18+Datos!AM18))," - ")</f>
        <v>-0.21109720483938257</v>
      </c>
      <c r="E18" s="854">
        <f>IF(ISNUMBER(
   IF(Criterios!B14="SI",(Datos!L18-Datos!V18)/Datos!V18,(Datos!L18+Datos!AF18-(Datos!V18+Datos!AN18))/(Datos!V18+Datos!AN18))
     ),IF(Criterios!B14="SI",(Datos!L18-Datos!V18)/Datos!V18,(Datos!L18+Datos!AF18-(Datos!V18+Datos!AN18))/(Datos!V18+Datos!AN18))," - ")</f>
        <v>0.16627689429373246</v>
      </c>
      <c r="F18" s="855">
        <f>IF(ISNUMBER((Datos!M18-Datos!W18)/Datos!W18),(Datos!M18-Datos!W18)/Datos!W18," - ")</f>
        <v>0.10169491525423729</v>
      </c>
      <c r="G18" s="856">
        <f>IF(ISNUMBER((Datos!N18-Datos!X18)/Datos!X18),(Datos!N18-Datos!X18)/Datos!X18," - ")</f>
        <v>-0.30423452768729642</v>
      </c>
      <c r="H18" s="856">
        <f>IF(ISNUMBER(((NºAsuntos!G18/NºAsuntos!E18)-Datos!BD18)/Datos!BD18),((NºAsuntos!G18/NºAsuntos!E18)-Datos!BD18)/Datos!BD18," - ")</f>
        <v>-1.4151461256394979E-3</v>
      </c>
      <c r="I18" s="856">
        <f>IF(ISNUMBER(((NºAsuntos!I18/NºAsuntos!G18)-Datos!BE18)/Datos!BE18),((NºAsuntos!I18/NºAsuntos!G18)-Datos!BE18)/Datos!BE18," - ")</f>
        <v>0.47835310186254709</v>
      </c>
      <c r="J18" s="856">
        <f>IF(ISNUMBER((('Resol  Asuntos'!D18/NºAsuntos!G18)-Datos!BF18)/Datos!BF18),(('Resol  Asuntos'!D18/NºAsuntos!G18)-Datos!BF18)/Datos!BF18," - ")</f>
        <v>0.39649006444442469</v>
      </c>
      <c r="K18" s="856">
        <f>IF(ISNUMBER((((NºAsuntos!C18+NºAsuntos!E18)/NºAsuntos!G18)-Datos!BG18)/Datos!BG18),(((NºAsuntos!C18+NºAsuntos!E18)/NºAsuntos!G18)-Datos!BG18)/Datos!BG18," - ")</f>
        <v>0.41101535951509754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0.14025537976293431</v>
      </c>
      <c r="C19" s="801">
        <f>IF(ISNUMBER(
   IF(J_V="SI",(Datos!J19-Datos!T19)/Datos!T19,(Datos!J19+Datos!Z19-(Datos!T19+Datos!AH19))/(Datos!T19+Datos!AH19))
     ),IF(J_V="SI",(Datos!J19-Datos!T19)/Datos!T19,(Datos!J19+Datos!Z19-(Datos!T19+Datos!AH19))/(Datos!T19+Datos!AH19))," - ")</f>
        <v>-0.3870075108709975</v>
      </c>
      <c r="D19" s="801">
        <f>IF(ISNUMBER(
   IF(J_V="SI",(Datos!K19-Datos!U19)/Datos!U19,(Datos!K19+Datos!AA19-(Datos!U19+Datos!AI19))/(Datos!U19+Datos!AI19))
     ),IF(J_V="SI",(Datos!K19-Datos!U19)/Datos!U19,(Datos!K19+Datos!AA19-(Datos!U19+Datos!AI19))/(Datos!U19+Datos!AI19))," - ")</f>
        <v>-0.36555645816409421</v>
      </c>
      <c r="E19" s="801">
        <f>IF(ISNUMBER(
   IF(J_V="SI",(Datos!L19-Datos!V19)/Datos!V19,(Datos!L19+Datos!AB19-(Datos!V19+Datos!AJ19))/(Datos!V19+Datos!AJ19))
     ),IF(J_V="SI",(Datos!L19-Datos!V19)/Datos!V19,(Datos!L19+Datos!AB19-(Datos!V19+Datos!AJ19))/(Datos!V19+Datos!AJ19))," - ")</f>
        <v>6.8757710923412735E-2</v>
      </c>
      <c r="F19" s="802">
        <f>IF(ISNUMBER((Datos!M19-Datos!W19)/Datos!W19),(Datos!M19-Datos!W19)/Datos!W19," - ")</f>
        <v>-5.473684210526316E-2</v>
      </c>
      <c r="G19" s="803">
        <f>IF(ISNUMBER((Datos!N19-Datos!X19)/Datos!X19),(Datos!N19-Datos!X19)/Datos!X19," - ")</f>
        <v>-0.23339317773788151</v>
      </c>
      <c r="H19" s="804">
        <f>IF(ISNUMBER((Tasas!B19-Datos!BD19)/Datos!BD19),(Tasas!B19-Datos!BD19)/Datos!BD19," - ")</f>
        <v>3.4993989465324317E-2</v>
      </c>
      <c r="I19" s="805">
        <f>IF(ISNUMBER((Tasas!C19-Datos!BE19)/Datos!BE19),(Tasas!C19-Datos!BE19)/Datos!BE19," - ")</f>
        <v>0.68455920889464916</v>
      </c>
      <c r="J19" s="806">
        <f>IF(ISNUMBER((Tasas!D19-Datos!BF19)/Datos!BF19),(Tasas!D19-Datos!BF19)/Datos!BF19," - ")</f>
        <v>0.52523014261115275</v>
      </c>
      <c r="K19" s="806">
        <f>IF(ISNUMBER((Tasas!E19-Datos!BG19)/Datos!BG19),(Tasas!E19-Datos!BG19)/Datos!BG19," - ")</f>
        <v>0.56577135733864259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zHMSnodKADxqJbvbS5HJzu1sTYQAAKMJ1bJI8ku0Jf/iu+b0oS+KprqON3d8YGAPsNiFnOrraS4SCI309YHPA==" saltValue="2H6ffp4E+PX9BcsGheYr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GAVA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0.96153846153846156</v>
      </c>
      <c r="C10" s="442">
        <f>IF(ISNUMBER(NºAsuntos!I10/NºAsuntos!G10),NºAsuntos!I10/NºAsuntos!G10," - ")</f>
        <v>3.68</v>
      </c>
      <c r="D10" s="443">
        <f>IF(ISNUMBER('Resol  Asuntos'!D10/NºAsuntos!G10),'Resol  Asuntos'!D10/NºAsuntos!G10," - ")</f>
        <v>0.28000000000000003</v>
      </c>
      <c r="E10" s="444">
        <f>IF(ISNUMBER((NºAsuntos!C10+NºAsuntos!E10)/NºAsuntos!G10),(NºAsuntos!C10+NºAsuntos!E10)/NºAsuntos!G10," - ")</f>
        <v>4.68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0.84782608695652173</v>
      </c>
      <c r="C12" s="442">
        <f>IF(ISNUMBER(NºAsuntos!I12/NºAsuntos!G12),NºAsuntos!I12/NºAsuntos!G12," - ")</f>
        <v>8.7702362996480652</v>
      </c>
      <c r="D12" s="443">
        <f>IF(ISNUMBER('Resol  Asuntos'!D12/NºAsuntos!G12),'Resol  Asuntos'!D12/NºAsuntos!G12," - ")</f>
        <v>0.31724484665661135</v>
      </c>
      <c r="E12" s="444">
        <f>IF(ISNUMBER((NºAsuntos!C12+NºAsuntos!E12)/NºAsuntos!G12),(NºAsuntos!C12+NºAsuntos!E12)/NºAsuntos!G12," - ")</f>
        <v>9.8049270990447468</v>
      </c>
      <c r="G12" s="462"/>
    </row>
    <row r="13" spans="1:7" ht="14.25" thickTop="1" thickBot="1">
      <c r="A13" s="847" t="str">
        <f>Datos!A13</f>
        <v>TOTAL</v>
      </c>
      <c r="B13" s="857">
        <f>IF(ISNUMBER(NºAsuntos!G13/NºAsuntos!E13),NºAsuntos!G13/NºAsuntos!E13," - ")</f>
        <v>0.84907251264755479</v>
      </c>
      <c r="C13" s="858">
        <f>IF(ISNUMBER(NºAsuntos!I13/NºAsuntos!G13),NºAsuntos!I13/NºAsuntos!G13," - ")</f>
        <v>8.7070506454816279</v>
      </c>
      <c r="D13" s="859">
        <f>IF(ISNUMBER('Resol  Asuntos'!D13/NºAsuntos!G13),'Resol  Asuntos'!D13/NºAsuntos!G13," - ")</f>
        <v>0.31678252234359483</v>
      </c>
      <c r="E13" s="860">
        <f>IF(ISNUMBER((NºAsuntos!C13+NºAsuntos!E13)/NºAsuntos!G13),(NºAsuntos!C13+NºAsuntos!E13)/NºAsuntos!G13," - ")</f>
        <v>9.7413108242303874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0.82820634169427354</v>
      </c>
      <c r="C16" s="442">
        <f>IF(ISNUMBER(NºAsuntos!I16/NºAsuntos!G16),NºAsuntos!I16/NºAsuntos!G16," - ")</f>
        <v>2.7234285714285713</v>
      </c>
      <c r="D16" s="443">
        <f>IF(ISNUMBER('Resol  Asuntos'!D16/NºAsuntos!G16),'Resol  Asuntos'!D16/NºAsuntos!G16," - ")</f>
        <v>0.14399999999999999</v>
      </c>
      <c r="E16" s="444">
        <f>IF(ISNUMBER((NºAsuntos!C16+NºAsuntos!E16)/NºAsuntos!G16),(NºAsuntos!C16+NºAsuntos!E16)/NºAsuntos!G16," - ")</f>
        <v>4.0485714285714289</v>
      </c>
      <c r="G16" s="462"/>
    </row>
    <row r="17" spans="1:7" ht="21.75" thickBot="1">
      <c r="A17" s="401" t="str">
        <f>Datos!A17</f>
        <v>Jdos. Violencia contra la mujer/Secc Viol. TI.</v>
      </c>
      <c r="B17" s="441">
        <f>IF(ISNUMBER(NºAsuntos!G17/NºAsuntos!E17),NºAsuntos!G17/NºAsuntos!E17," - ")</f>
        <v>0.84431137724550898</v>
      </c>
      <c r="C17" s="442">
        <f>IF(ISNUMBER(NºAsuntos!I17/NºAsuntos!G17),NºAsuntos!I17/NºAsuntos!G17," - ")</f>
        <v>1.5673758865248226</v>
      </c>
      <c r="D17" s="443">
        <f>IF(ISNUMBER('Resol  Asuntos'!D17/NºAsuntos!G17),'Resol  Asuntos'!D17/NºAsuntos!G17," - ")</f>
        <v>5.6737588652482268E-2</v>
      </c>
      <c r="E17" s="444">
        <f>IF(ISNUMBER((NºAsuntos!C17+NºAsuntos!E17)/NºAsuntos!G17),(NºAsuntos!C17+NºAsuntos!E17)/NºAsuntos!G17," - ")</f>
        <v>2.5673758865248226</v>
      </c>
      <c r="G17" s="462"/>
    </row>
    <row r="18" spans="1:7" ht="14.25" thickTop="1" thickBot="1">
      <c r="A18" s="847" t="str">
        <f>Datos!A18</f>
        <v>TOTAL</v>
      </c>
      <c r="B18" s="857">
        <f>IF(ISNUMBER(NºAsuntos!G18/NºAsuntos!E18),NºAsuntos!G18/NºAsuntos!E18," - ")</f>
        <v>0.82938596491228067</v>
      </c>
      <c r="C18" s="858">
        <f>IF(ISNUMBER(NºAsuntos!I18/NºAsuntos!G18),NºAsuntos!I18/NºAsuntos!G18," - ")</f>
        <v>2.6372289793759913</v>
      </c>
      <c r="D18" s="861">
        <f>IF(ISNUMBER('Resol  Asuntos'!D18/NºAsuntos!G18),'Resol  Asuntos'!D18/NºAsuntos!G18," - ")</f>
        <v>0.13749338974087785</v>
      </c>
      <c r="E18" s="860">
        <f>IF(ISNUMBER((NºAsuntos!C18+NºAsuntos!E18)/NºAsuntos!G18),(NºAsuntos!C18+NºAsuntos!E18)/NºAsuntos!G18," - ")</f>
        <v>3.9381279746166049</v>
      </c>
      <c r="G18" s="462"/>
    </row>
    <row r="19" spans="1:7" ht="15.75" customHeight="1" thickTop="1" thickBot="1">
      <c r="A19" s="792" t="str">
        <f>Datos!A19</f>
        <v>TOTAL JURISDICCIONES</v>
      </c>
      <c r="B19" s="807">
        <f>IF(ISNUMBER(NºAsuntos!G19/NºAsuntos!E19),NºAsuntos!G19/NºAsuntos!E19," - ")</f>
        <v>0.83942390369733444</v>
      </c>
      <c r="C19" s="808">
        <f>IF(ISNUMBER(NºAsuntos!I19/NºAsuntos!G19),NºAsuntos!I19/NºAsuntos!G19," - ")</f>
        <v>5.7677336747759282</v>
      </c>
      <c r="D19" s="809">
        <f>IF(ISNUMBER('Resol  Asuntos'!D19/NºAsuntos!G19),'Resol  Asuntos'!D19/NºAsuntos!G19," - ")</f>
        <v>0.22996158770806657</v>
      </c>
      <c r="E19" s="810">
        <f>IF(ISNUMBER((NºAsuntos!C19+NºAsuntos!E19)/NºAsuntos!G19),(NºAsuntos!C19+NºAsuntos!E19)/NºAsuntos!G19," - ")</f>
        <v>6.9311139564660689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FoT7BQej8A3kaT1kgb+ec9caOAQxhanqhi+AT3gTADW5nNSZEfxy+4HCxKJZK+KDVBXbmc609qfJdPbvDp8jw==" saltValue="u2fGyEwKLHqa7snV2Une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GAVA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91</v>
      </c>
      <c r="G10" s="332">
        <f>IF(ISNUMBER(Datos!I10),Datos!I10," - ")</f>
        <v>91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0</v>
      </c>
      <c r="Y10" s="333">
        <f t="shared" ref="Y10:Y12" si="0">SUM(W10:X10)</f>
        <v>25</v>
      </c>
      <c r="Z10" s="334" t="str">
        <f>IF(ISNUMBER(Datos!CC10),Datos!CC10," - ")</f>
        <v xml:space="preserve"> - </v>
      </c>
      <c r="AA10" s="331">
        <f>IF(ISNUMBER(Datos!L10),Datos!L10,"-")</f>
        <v>92</v>
      </c>
      <c r="AB10" s="333">
        <f>IF(ISNUMBER(Datos!R10),Datos!R10," - ")</f>
        <v>77</v>
      </c>
      <c r="AC10" s="333">
        <f t="shared" ref="AC10:AC12" si="1">IF(ISNUMBER(AA10+AB10),AA10+AB10," - ")</f>
        <v>169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0.96153846153846156</v>
      </c>
      <c r="AM10" s="259">
        <f>IF(ISNUMBER(((NºAsuntos!I10/NºAsuntos!G10)*11)/factor_trimestre),((NºAsuntos!I10/NºAsuntos!G10)*11)/factor_trimestre," - ")</f>
        <v>7.36</v>
      </c>
      <c r="AN10" s="243">
        <f>IF(ISNUMBER('Resol  Asuntos'!D10/NºAsuntos!G10),'Resol  Asuntos'!D10/NºAsuntos!G10," - ")</f>
        <v>0.28000000000000003</v>
      </c>
      <c r="AO10" s="244">
        <f>IF(ISNUMBER((NºAsuntos!C10+NºAsuntos!E10)/NºAsuntos!G10),(NºAsuntos!C10+NºAsuntos!E10)/NºAsuntos!G10," - ")</f>
        <v>4.68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237</v>
      </c>
      <c r="Y12" s="333">
        <f t="shared" si="0"/>
        <v>237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7925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631</v>
      </c>
      <c r="AJ12" s="228" t="str">
        <f>IF(ISNUMBER(Datos!BW12),Datos!BW12," - ")</f>
        <v xml:space="preserve"> - </v>
      </c>
      <c r="AK12" s="227" t="str">
        <f>IF(ISNUMBER(Datos!BX12),Datos!BX12," - ")</f>
        <v xml:space="preserve"> - </v>
      </c>
      <c r="AL12" s="242">
        <f>IF(ISNUMBER(NºAsuntos!G12/NºAsuntos!E12),NºAsuntos!G12/NºAsuntos!E12," - ")</f>
        <v>0.84782608695652173</v>
      </c>
      <c r="AM12" s="259">
        <f>IF(ISNUMBER(((NºAsuntos!I12/NºAsuntos!G12)*11)/factor_trimestre),((NºAsuntos!I12/NºAsuntos!G12)*11)/factor_trimestre," - ")</f>
        <v>17.54047259929613</v>
      </c>
      <c r="AN12" s="243">
        <f>IF(ISNUMBER('Resol  Asuntos'!D12/NºAsuntos!G12),'Resol  Asuntos'!D12/NºAsuntos!G12," - ")</f>
        <v>0.31724484665661135</v>
      </c>
      <c r="AO12" s="244">
        <f>IF(ISNUMBER((NºAsuntos!C12+NºAsuntos!E12)/NºAsuntos!G12),(NºAsuntos!C12+NºAsuntos!E12)/NºAsuntos!G12," - ")</f>
        <v>9.8049270990447468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91</v>
      </c>
      <c r="G13" s="865">
        <f t="shared" si="3"/>
        <v>91</v>
      </c>
      <c r="H13" s="864">
        <f t="shared" si="3"/>
        <v>0</v>
      </c>
      <c r="I13" s="866">
        <f t="shared" si="3"/>
        <v>0</v>
      </c>
      <c r="J13" s="866">
        <f t="shared" si="3"/>
        <v>0</v>
      </c>
      <c r="K13" s="866">
        <f t="shared" si="3"/>
        <v>0</v>
      </c>
      <c r="L13" s="866">
        <f t="shared" si="3"/>
        <v>625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237</v>
      </c>
      <c r="Y13" s="867">
        <f t="shared" si="4"/>
        <v>262</v>
      </c>
      <c r="Z13" s="867">
        <f t="shared" si="4"/>
        <v>0</v>
      </c>
      <c r="AA13" s="867">
        <f t="shared" si="4"/>
        <v>92</v>
      </c>
      <c r="AB13" s="867">
        <f t="shared" si="4"/>
        <v>8002</v>
      </c>
      <c r="AC13" s="867">
        <f t="shared" si="4"/>
        <v>169</v>
      </c>
      <c r="AD13" s="867">
        <f t="shared" si="4"/>
        <v>0</v>
      </c>
      <c r="AE13" s="871">
        <f t="shared" si="4"/>
        <v>0</v>
      </c>
      <c r="AF13" s="864">
        <f t="shared" si="4"/>
        <v>0</v>
      </c>
      <c r="AG13" s="872">
        <f t="shared" si="4"/>
        <v>0</v>
      </c>
      <c r="AH13" s="869">
        <f t="shared" si="4"/>
        <v>0</v>
      </c>
      <c r="AI13" s="864">
        <f t="shared" si="4"/>
        <v>638</v>
      </c>
      <c r="AJ13" s="866">
        <f t="shared" si="4"/>
        <v>0</v>
      </c>
      <c r="AK13" s="869">
        <f>SUBTOTAL(9,AK9:AK12)</f>
        <v>0</v>
      </c>
      <c r="AL13" s="873">
        <f>IF(ISNUMBER(NºAsuntos!G13/NºAsuntos!E13),NºAsuntos!G13/NºAsuntos!E13," - ")</f>
        <v>0.84907251264755479</v>
      </c>
      <c r="AM13" s="873">
        <f>IF(ISNUMBER(((NºAsuntos!I13/NºAsuntos!G13)*11)/factor_trimestre),((NºAsuntos!I13/NºAsuntos!G13)*11)/factor_trimestre," - ")</f>
        <v>17.414101290963256</v>
      </c>
      <c r="AN13" s="874">
        <f>IF(ISNUMBER('Resol  Asuntos'!D13/NºAsuntos!G13),'Resol  Asuntos'!D13/NºAsuntos!G13," - ")</f>
        <v>0.31678252234359483</v>
      </c>
      <c r="AO13" s="875">
        <f>IF(ISNUMBER((NºAsuntos!C13+NºAsuntos!E13)/NºAsuntos!G13),(NºAsuntos!C13+NºAsuntos!E13)/NºAsuntos!G13," - ")</f>
        <v>9.7413108242303874</v>
      </c>
      <c r="AP13" s="876" t="str">
        <f t="shared" si="2"/>
        <v xml:space="preserve"> - </v>
      </c>
      <c r="AQ13" s="876">
        <f>IF(ISNUMBER((H13-W13+K13)/(F13)),(H13-W13+K13)/(F13)," - ")</f>
        <v>-0.27472527472527475</v>
      </c>
      <c r="AR13" s="877">
        <f>IF(ISNUMBER((Datos!P13-Datos!Q13)/(Datos!R13-Datos!P13+Datos!Q13)),(Datos!P13-Datos!Q13)/(Datos!R13-Datos!P13+Datos!Q13)," - ")</f>
        <v>5.0958760178618334E-2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4403</v>
      </c>
      <c r="G16" s="332">
        <f>IF(ISNUMBER(IF(D_I="SI",Datos!I16,Datos!I16+Datos!AC16)),IF(D_I="SI",Datos!I16,Datos!I16+Datos!AC16)," - ")</f>
        <v>4972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1750</v>
      </c>
      <c r="X16" s="225">
        <f>IF(ISNUMBER(Datos!Q16),Datos!Q16," - ")</f>
        <v>196</v>
      </c>
      <c r="Y16" s="333">
        <f t="shared" ref="Y16:Y17" si="7">SUM(W16:X16)</f>
        <v>1946</v>
      </c>
      <c r="Z16" s="334" t="str">
        <f>IF(ISNUMBER(Datos!CC16),Datos!CC16," - ")</f>
        <v xml:space="preserve"> - </v>
      </c>
      <c r="AA16" s="331">
        <f>IF(ISNUMBER(IF(D_I="SI",Datos!L16,Datos!L16+Datos!AF16)),IF(D_I="SI",Datos!L16,Datos!L16+Datos!AF16)," - ")</f>
        <v>4766</v>
      </c>
      <c r="AB16" s="333">
        <f>IF(ISNUMBER(Datos!R16),Datos!R16," - ")</f>
        <v>365</v>
      </c>
      <c r="AC16" s="333">
        <f t="shared" si="6"/>
        <v>5131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252</v>
      </c>
      <c r="AJ16" s="230" t="str">
        <f>IF(ISNUMBER(Datos!BW16),Datos!BW16," - ")</f>
        <v xml:space="preserve"> - </v>
      </c>
      <c r="AK16" s="231" t="str">
        <f>IF(ISNUMBER(Datos!BX16),Datos!BX16," - ")</f>
        <v xml:space="preserve"> - </v>
      </c>
      <c r="AL16" s="242">
        <f>IF(ISNUMBER(NºAsuntos!G16/NºAsuntos!E16),NºAsuntos!G16/NºAsuntos!E16," - ")</f>
        <v>0.82820634169427354</v>
      </c>
      <c r="AM16" s="259">
        <f>IF(ISNUMBER(((NºAsuntos!I16/NºAsuntos!G16)*11)/factor_trimestre),((NºAsuntos!I16/NºAsuntos!G16)*11)/factor_trimestre," - ")</f>
        <v>5.4468571428571426</v>
      </c>
      <c r="AN16" s="243">
        <f>IF(ISNUMBER('Resol  Asuntos'!D16/NºAsuntos!G16),'Resol  Asuntos'!D16/NºAsuntos!G16," - ")</f>
        <v>0.14399999999999999</v>
      </c>
      <c r="AO16" s="244">
        <f>IF(ISNUMBER((NºAsuntos!C16+NºAsuntos!E16)/NºAsuntos!G16),(NºAsuntos!C16+NºAsuntos!E16)/NºAsuntos!G16," - ")</f>
        <v>4.0485714285714289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141</v>
      </c>
      <c r="X17" s="225">
        <f>IF(ISNUMBER(Datos!Q17),Datos!Q17," - ")</f>
        <v>0</v>
      </c>
      <c r="Y17" s="333">
        <f t="shared" si="7"/>
        <v>141</v>
      </c>
      <c r="Z17" s="334" t="str">
        <f>IF(ISNUMBER(Datos!CC17),Datos!CC17," - ")</f>
        <v xml:space="preserve"> - </v>
      </c>
      <c r="AA17" s="331">
        <f>IF(ISNUMBER(Datos!L17),Datos!L17,"-")</f>
        <v>221</v>
      </c>
      <c r="AB17" s="333">
        <f>IF(ISNUMBER(Datos!R17),Datos!R17," - ")</f>
        <v>4</v>
      </c>
      <c r="AC17" s="333">
        <f t="shared" si="6"/>
        <v>225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0.84431137724550898</v>
      </c>
      <c r="AM17" s="259">
        <f>IF(ISNUMBER(((NºAsuntos!I17/NºAsuntos!G17)*11)/factor_trimestre),((NºAsuntos!I17/NºAsuntos!G17)*11)/factor_trimestre," - ")</f>
        <v>3.1347517730496453</v>
      </c>
      <c r="AN17" s="243">
        <f>IF(ISNUMBER('Resol  Asuntos'!D17/NºAsuntos!G17),'Resol  Asuntos'!D17/NºAsuntos!G17," - ")</f>
        <v>5.6737588652482268E-2</v>
      </c>
      <c r="AO17" s="244">
        <f>IF(ISNUMBER((NºAsuntos!C17+NºAsuntos!E17)/NºAsuntos!G17),(NºAsuntos!C17+NºAsuntos!E17)/NºAsuntos!G17," - ")</f>
        <v>2.5673758865248226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10</v>
      </c>
      <c r="F18" s="864">
        <f>SUBTOTAL(9,F14:F17)</f>
        <v>4403</v>
      </c>
      <c r="G18" s="865">
        <f>SUBTOTAL(9,G15:G17)</f>
        <v>5167</v>
      </c>
      <c r="H18" s="864">
        <f t="shared" ref="H18:O18" si="10">SUBTOTAL(9,H14:H17)</f>
        <v>0</v>
      </c>
      <c r="I18" s="866">
        <f t="shared" si="10"/>
        <v>0</v>
      </c>
      <c r="J18" s="866">
        <f t="shared" si="10"/>
        <v>0</v>
      </c>
      <c r="K18" s="866">
        <f t="shared" si="10"/>
        <v>0</v>
      </c>
      <c r="L18" s="866">
        <f t="shared" si="10"/>
        <v>79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1891</v>
      </c>
      <c r="X18" s="866">
        <f t="shared" si="11"/>
        <v>196</v>
      </c>
      <c r="Y18" s="867">
        <f t="shared" si="11"/>
        <v>2087</v>
      </c>
      <c r="Z18" s="867">
        <f t="shared" si="11"/>
        <v>0</v>
      </c>
      <c r="AA18" s="867">
        <f t="shared" si="11"/>
        <v>4987</v>
      </c>
      <c r="AB18" s="867">
        <f t="shared" si="11"/>
        <v>369</v>
      </c>
      <c r="AC18" s="867">
        <f t="shared" si="11"/>
        <v>5356</v>
      </c>
      <c r="AD18" s="867">
        <f t="shared" si="11"/>
        <v>0</v>
      </c>
      <c r="AE18" s="871">
        <f t="shared" si="11"/>
        <v>0</v>
      </c>
      <c r="AF18" s="864">
        <f t="shared" si="11"/>
        <v>0</v>
      </c>
      <c r="AG18" s="872">
        <f t="shared" si="11"/>
        <v>0</v>
      </c>
      <c r="AH18" s="869">
        <f t="shared" si="11"/>
        <v>0</v>
      </c>
      <c r="AI18" s="864">
        <f t="shared" si="11"/>
        <v>260</v>
      </c>
      <c r="AJ18" s="866">
        <f t="shared" si="11"/>
        <v>0</v>
      </c>
      <c r="AK18" s="869">
        <f t="shared" si="11"/>
        <v>0</v>
      </c>
      <c r="AL18" s="873">
        <f>IF(ISNUMBER(NºAsuntos!G18/NºAsuntos!E18),NºAsuntos!G18/NºAsuntos!E18," - ")</f>
        <v>0.82938596491228067</v>
      </c>
      <c r="AM18" s="873">
        <f>IF(ISNUMBER(((NºAsuntos!I18/NºAsuntos!G18)*11)/factor_trimestre),((NºAsuntos!I18/NºAsuntos!G18)*11)/factor_trimestre," - ")</f>
        <v>5.2744579587519826</v>
      </c>
      <c r="AN18" s="874">
        <f>IF(ISNUMBER('Resol  Asuntos'!D18/NºAsuntos!G18),'Resol  Asuntos'!D18/NºAsuntos!G18," - ")</f>
        <v>0.13749338974087785</v>
      </c>
      <c r="AO18" s="875">
        <f>IF(ISNUMBER((NºAsuntos!C18+NºAsuntos!E18)/NºAsuntos!G18),(NºAsuntos!C18+NºAsuntos!E18)/NºAsuntos!G18," - ")</f>
        <v>3.9381279746166049</v>
      </c>
      <c r="AP18" s="876" t="str">
        <f t="shared" si="2"/>
        <v xml:space="preserve"> - </v>
      </c>
      <c r="AQ18" s="876">
        <f>IF(ISNUMBER((H18-W18+K18)/(F18)),(H18-W18+K18)/(F18)," - ")</f>
        <v>-0.42947990006813536</v>
      </c>
      <c r="AR18" s="877">
        <f>IF(ISNUMBER((Datos!P18-Datos!Q18)/(Datos!R18-Datos!P18+Datos!Q18)),(Datos!P18-Datos!Q18)/(Datos!R18-Datos!P18+Datos!Q18)," - ")</f>
        <v>-0.24074074074074073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4494</v>
      </c>
      <c r="G19" s="820">
        <f t="shared" si="13"/>
        <v>5258</v>
      </c>
      <c r="H19" s="819">
        <f t="shared" si="13"/>
        <v>0</v>
      </c>
      <c r="I19" s="821">
        <f t="shared" si="13"/>
        <v>0</v>
      </c>
      <c r="J19" s="821">
        <f t="shared" si="13"/>
        <v>0</v>
      </c>
      <c r="K19" s="880">
        <f t="shared" si="13"/>
        <v>0</v>
      </c>
      <c r="L19" s="821">
        <f t="shared" si="13"/>
        <v>704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1916</v>
      </c>
      <c r="X19" s="820">
        <f t="shared" si="14"/>
        <v>433</v>
      </c>
      <c r="Y19" s="827">
        <f t="shared" si="14"/>
        <v>2349</v>
      </c>
      <c r="Z19" s="827">
        <f t="shared" si="14"/>
        <v>0</v>
      </c>
      <c r="AA19" s="827">
        <f t="shared" si="14"/>
        <v>5079</v>
      </c>
      <c r="AB19" s="827">
        <f t="shared" si="14"/>
        <v>8371</v>
      </c>
      <c r="AC19" s="827">
        <f t="shared" si="14"/>
        <v>5525</v>
      </c>
      <c r="AD19" s="827">
        <f t="shared" si="14"/>
        <v>0</v>
      </c>
      <c r="AE19" s="829">
        <f t="shared" si="14"/>
        <v>0</v>
      </c>
      <c r="AF19" s="830">
        <f t="shared" si="14"/>
        <v>0</v>
      </c>
      <c r="AG19" s="831">
        <f t="shared" si="14"/>
        <v>0</v>
      </c>
      <c r="AH19" s="829">
        <f t="shared" si="14"/>
        <v>0</v>
      </c>
      <c r="AI19" s="819">
        <f t="shared" si="14"/>
        <v>898</v>
      </c>
      <c r="AJ19" s="819">
        <f t="shared" si="14"/>
        <v>0</v>
      </c>
      <c r="AK19" s="829">
        <f t="shared" si="14"/>
        <v>0</v>
      </c>
      <c r="AL19" s="883">
        <f>IF(ISNUMBER(NºAsuntos!G19/NºAsuntos!E19),NºAsuntos!G19/NºAsuntos!E19," - ")</f>
        <v>0.83942390369733444</v>
      </c>
      <c r="AM19" s="884">
        <f>IF(ISNUMBER(((NºAsuntos!I19/NºAsuntos!G19)*11)/factor_trimestre),((NºAsuntos!I19/NºAsuntos!G19)*11)/factor_trimestre," - ")</f>
        <v>11.535467349551856</v>
      </c>
      <c r="AN19" s="884">
        <f>IF(ISNUMBER('Resol  Asuntos'!D19/NºAsuntos!G19),'Resol  Asuntos'!D19/NºAsuntos!G19," - ")</f>
        <v>0.22996158770806657</v>
      </c>
      <c r="AO19" s="885">
        <f>IF(ISNUMBER((NºAsuntos!C19+NºAsuntos!E19)/NºAsuntos!G19),(NºAsuntos!C19+NºAsuntos!E19)/NºAsuntos!G19," - ")</f>
        <v>6.9311139564660689</v>
      </c>
      <c r="AP19" s="886" t="str">
        <f t="shared" si="2"/>
        <v xml:space="preserve"> - </v>
      </c>
      <c r="AQ19" s="887">
        <f>IF(OR(ISNUMBER(FIND("01",Criterios!A8,1)),ISNUMBER(FIND("02",Criterios!A8,1)),ISNUMBER(FIND("03",Criterios!A8,1)),ISNUMBER(FIND("04",Criterios!A8,1))),(I19-W19+K19)/(F19-K19),(H19-W19+K19)/(F19-K19))</f>
        <v>-0.4263462394303516</v>
      </c>
      <c r="AR19" s="888">
        <f>IF(ISNUMBER((Datos!P19-Datos!Q19)/(Datos!R19-Datos!P19+Datos!Q19)),(Datos!P19-Datos!Q19)/(Datos!R19-Datos!P19+Datos!Q19)," - ")</f>
        <v>3.3456790123456794E-2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2103.1999999999998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4.8247049420433763</v>
      </c>
      <c r="F21" s="251">
        <f>IF(ISNUMBER(STDEV(F8:F18)),STDEV(F8:F18),"-")</f>
        <v>2489.5343607456662</v>
      </c>
      <c r="G21" s="252">
        <f>IF(ISNUMBER(STDEV(G8:G18)),STDEV(G8:G18),"-")</f>
        <v>2709.059283219915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964.71073384719841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282.42497528842358</v>
      </c>
      <c r="AJ21" s="251">
        <f t="shared" si="18"/>
        <v>0</v>
      </c>
      <c r="AK21" s="253">
        <f t="shared" si="18"/>
        <v>0</v>
      </c>
      <c r="AL21" s="248">
        <f t="shared" si="18"/>
        <v>5.0540761165182115E-2</v>
      </c>
      <c r="AM21" s="249">
        <f t="shared" si="18"/>
        <v>6.4272345057623816</v>
      </c>
      <c r="AN21" s="249">
        <f t="shared" si="18"/>
        <v>0.11035991175386517</v>
      </c>
      <c r="AO21" s="250">
        <f t="shared" si="18"/>
        <v>3.1563154349865257</v>
      </c>
      <c r="AP21" s="290" t="str">
        <f t="shared" si="18"/>
        <v>-</v>
      </c>
      <c r="AQ21" s="291">
        <f t="shared" si="18"/>
        <v>0.1094280449999203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aDqb4Hw+F9lEiNT0C3xmxrrUmCnp/zbSmUKX6WiUqdvgenBDCgIjY7D7/9u8BXTZvEX4QPLA2I4cnvPwRxbDg==" saltValue="35vPYCHshVsD1FBVuESR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GAVA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0.22972972972972974</v>
      </c>
      <c r="E10" s="347">
        <f>IF(ISNUMBER((Datos!J10-Datos!T10)/Datos!T10),(Datos!J10-Datos!T10)/Datos!T10," - ")</f>
        <v>0.3</v>
      </c>
      <c r="F10" s="347">
        <f>IF(ISNUMBER((Datos!K10-Datos!U10)/Datos!U10),(Datos!K10-Datos!U10)/Datos!U10," - ")</f>
        <v>0.13636363636363635</v>
      </c>
      <c r="G10" s="348">
        <f>IF(ISNUMBER((Datos!L10-Datos!V10)/Datos!V10),(Datos!L10-Datos!V10)/Datos!V10," - ")</f>
        <v>0.27777777777777779</v>
      </c>
      <c r="H10" s="229">
        <f>IF(ISNUMBER((Datos!M10-Datos!W10)/Datos!W10),(Datos!M10-Datos!W10)/Datos!W10," - ")</f>
        <v>1.3333333333333333</v>
      </c>
      <c r="I10" s="349">
        <f>IF(ISNUMBER((Tasas!C10-Datos!BE10)/Datos!BE10),(Tasas!C10-Datos!BE10)/Datos!BE10," - ")</f>
        <v>0.12444444444444443</v>
      </c>
      <c r="J10" s="348">
        <f>IF(ISNUMBER((Tasas!D10-Datos!BF10)/Datos!BF10),(Tasas!D10-Datos!BF10)/Datos!BF10," - ")</f>
        <v>1.0533333333333337</v>
      </c>
      <c r="K10" s="350">
        <f>IF(ISNUMBER((Tasas!E10-Datos!BG10)/Datos!BG10),(Tasas!E10-Datos!BG10)/Datos!BG10," - ")</f>
        <v>9.5319148936170203E-2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-0.11251758087201125</v>
      </c>
      <c r="I12" s="349">
        <f>IF(ISNUMBER((Tasas!C12-Datos!BE12)/Datos!BE12),(Tasas!C12-Datos!BE12)/Datos!BE12," - ")</f>
        <v>0.95896226327186251</v>
      </c>
      <c r="J12" s="348">
        <f>IF(ISNUMBER((Tasas!D12-Datos!BF12)/Datos!BF12),(Tasas!D12-Datos!BF12)/Datos!BF12," - ")</f>
        <v>0.72021298564455727</v>
      </c>
      <c r="K12" s="350">
        <f>IF(ISNUMBER((Tasas!E12-Datos!BG12)/Datos!BG12),(Tasas!E12-Datos!BG12)/Datos!BG12," - ")</f>
        <v>0.79020660942386733</v>
      </c>
      <c r="M12" t="e">
        <f>IF(Monitorios="SI",Datos!CE12,0)</f>
        <v>#REF!</v>
      </c>
      <c r="N12" t="e">
        <f>IF(Monitorios="SI",Datos!CF12,0)</f>
        <v>#REF!</v>
      </c>
      <c r="O12" t="e">
        <f>IF(Monitorios="SI",Datos!CG12,0)</f>
        <v>#REF!</v>
      </c>
      <c r="P12" t="e">
        <f>IF(Monitorios="SI",Datos!CH12,0)</f>
        <v>#REF!</v>
      </c>
      <c r="Q12">
        <f>IF(J_V="SI",0,Datos!AG12)</f>
        <v>128</v>
      </c>
      <c r="R12">
        <f>IF(J_V="SI",0,Datos!AH12)</f>
        <v>81</v>
      </c>
      <c r="S12">
        <f>IF(J_V="SI",0,Datos!AI12)</f>
        <v>63</v>
      </c>
      <c r="T12">
        <f>IF(J_V="SI",0,Datos!AJ12)</f>
        <v>146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-0.10644257703081232</v>
      </c>
      <c r="I13" s="356">
        <f>IF(ISNUMBER((Tasas!C13-Datos!BE13)/Datos!BE13),(Tasas!C13-Datos!BE13)/Datos!BE13," - ")</f>
        <v>0.9479161998880794</v>
      </c>
      <c r="J13" s="354">
        <f>IF(ISNUMBER((Tasas!D13-Datos!BF13)/Datos!BF13),(Tasas!D13-Datos!BF13)/Datos!BF13," - ")</f>
        <v>0.72033051873877074</v>
      </c>
      <c r="K13" s="357">
        <f>IF(ISNUMBER((Tasas!E13-Datos!BG13)/Datos!BG13),(Tasas!E13-Datos!BG13)/Datos!BG13," - ")</f>
        <v>0.78088373601176286</v>
      </c>
      <c r="M13" t="e">
        <f>IF(Monitorios="SI",Datos!CE13,0)</f>
        <v>#REF!</v>
      </c>
      <c r="N13" t="e">
        <f>IF(Monitorios="SI",Datos!CF13,0)</f>
        <v>#REF!</v>
      </c>
      <c r="O13" t="e">
        <f>IF(Monitorios="SI",Datos!CG13,0)</f>
        <v>#REF!</v>
      </c>
      <c r="P13" t="e">
        <f>IF(Monitorios="SI",Datos!CH13,0)</f>
        <v>#REF!</v>
      </c>
      <c r="Q13">
        <f>IF(J_V="SI",0,Datos!AG13)</f>
        <v>128</v>
      </c>
      <c r="R13">
        <f>IF(J_V="SI",0,Datos!AH13)</f>
        <v>81</v>
      </c>
      <c r="S13">
        <f>IF(J_V="SI",0,Datos!AI13)</f>
        <v>63</v>
      </c>
      <c r="T13">
        <f>IF(J_V="SI",0,Datos!AJ13)</f>
        <v>146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0.37158620689655175</v>
      </c>
      <c r="E16" s="347">
        <f>IF(ISNUMBER(
   IF(D_I="SI",(Datos!J16-Datos!T16)/Datos!T16,(Datos!J16+Datos!AD16-(Datos!T16+Datos!AL16))/(Datos!T16+Datos!AL16))
     ),IF(D_I="SI",(Datos!J16-Datos!T16)/Datos!T16,(Datos!J16+Datos!AD16-(Datos!T16+Datos!AL16))/(Datos!T16+Datos!AL16))," - ")</f>
        <v>-0.19901440485216074</v>
      </c>
      <c r="F16" s="347">
        <f>IF(ISNUMBER(
   IF(D_I="SI",(Datos!K16-Datos!U16)/Datos!U16,(Datos!K16+Datos!AE16-(Datos!U16+Datos!AM16))/(Datos!U16+Datos!AM16))
     ),IF(D_I="SI",(Datos!K16-Datos!U16)/Datos!U16,(Datos!K16+Datos!AE16-(Datos!U16+Datos!AM16))/(Datos!U16+Datos!AM16))," - ")</f>
        <v>-0.2012779552715655</v>
      </c>
      <c r="G16" s="348">
        <f>IF(ISNUMBER(
   IF(D_I="SI",(Datos!L16-Datos!V16)/Datos!V16,(Datos!L16+Datos!AF16-(Datos!V16+Datos!AN16))/(Datos!V16+Datos!AN16))
     ),IF(D_I="SI",(Datos!L16-Datos!V16)/Datos!V16,(Datos!L16+Datos!AF16-(Datos!V16+Datos!AN16))/(Datos!V16+Datos!AN16))," - ")</f>
        <v>0.1753390875462392</v>
      </c>
      <c r="H16" s="229">
        <f>IF(ISNUMBER((Datos!M16-Datos!W16)/Datos!W16),(Datos!M16-Datos!W16)/Datos!W16," - ")</f>
        <v>0.12</v>
      </c>
      <c r="I16" s="349">
        <f>IF(ISNUMBER((Tasas!C16-Datos!BE16)/Datos!BE16),(Tasas!C16-Datos!BE16)/Datos!BE16," - ")</f>
        <v>0.47152453760789143</v>
      </c>
      <c r="J16" s="348">
        <f>IF(ISNUMBER((Tasas!D16-Datos!BF16)/Datos!BF16),(Tasas!D16-Datos!BF16)/Datos!BF16," - ")</f>
        <v>0.40223999999999982</v>
      </c>
      <c r="K16" s="350">
        <f>IF(ISNUMBER((Tasas!E16-Datos!BG16)/Datos!BG16),(Tasas!E16-Datos!BG16)/Datos!BG16," - ")</f>
        <v>0.41632125179626395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8.9385474860335198E-2</v>
      </c>
      <c r="E17" s="347">
        <f>IF(ISNUMBER(
   IF(D_I="SI",(Datos!J17-Datos!T17)/Datos!T17,(Datos!J17+Datos!AD17-(Datos!T17+Datos!AL17))/(Datos!T17+Datos!AL17))
     ),IF(D_I="SI",(Datos!J17-Datos!T17)/Datos!T17,(Datos!J17+Datos!AD17-(Datos!T17+Datos!AL17))/(Datos!T17+Datos!AL17))," - ")</f>
        <v>-0.32661290322580644</v>
      </c>
      <c r="F17" s="347">
        <f>IF(ISNUMBER(
   IF(D_I="SI",(Datos!K17-Datos!U17)/Datos!U17,(Datos!K17+Datos!AE17-(Datos!U17+Datos!AM17))/(Datos!U17+Datos!AM17))
     ),IF(D_I="SI",(Datos!K17-Datos!U17)/Datos!U17,(Datos!K17+Datos!AE17-(Datos!U17+Datos!AM17))/(Datos!U17+Datos!AM17))," - ")</f>
        <v>-0.3155339805825243</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-0.27272727272727271</v>
      </c>
      <c r="I17" s="349">
        <f>IF(ISNUMBER((Tasas!C17-Datos!BE17)/Datos!BE17),(Tasas!C17-Datos!BE17)/Datos!BE17," - ")</f>
        <v>0.46099290780141844</v>
      </c>
      <c r="J17" s="348">
        <f>IF(ISNUMBER((Tasas!D17-Datos!BF17)/Datos!BF17),(Tasas!D17-Datos!BF17)/Datos!BF17," - ")</f>
        <v>6.2540296582849805E-2</v>
      </c>
      <c r="K17" s="350">
        <f>IF(ISNUMBER((Tasas!E17-Datos!BG17)/Datos!BG17),(Tasas!E17-Datos!BG17)/Datos!BG17," - ")</f>
        <v>0.23859351902602674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0.35830704521556256</v>
      </c>
      <c r="E18" s="353">
        <f>IF(ISNUMBER(
   IF(D_I="SI",(Datos!J18-Datos!T18)/Datos!T18,(Datos!J18+Datos!AD18-(Datos!T18+Datos!AL18))/(Datos!T18+Datos!AL18))
     ),IF(D_I="SI",(Datos!J18-Datos!T18)/Datos!T18,(Datos!J18+Datos!AD18-(Datos!T18+Datos!AL18))/(Datos!T18+Datos!AL18))," - ")</f>
        <v>-0.20997920997920999</v>
      </c>
      <c r="F18" s="353">
        <f>IF(ISNUMBER(
   IF(D_I="SI",(Datos!K18-Datos!U18)/Datos!U18,(Datos!K18+Datos!AE18-(Datos!U18+Datos!AM18))/(Datos!U18+Datos!AM18))
     ),IF(D_I="SI",(Datos!K18-Datos!U18)/Datos!U18,(Datos!K18+Datos!AE18-(Datos!U18+Datos!AM18))/(Datos!U18+Datos!AM18))," - ")</f>
        <v>-0.21109720483938257</v>
      </c>
      <c r="G18" s="354">
        <f>IF(ISNUMBER(
   IF(D_I="SI",(Datos!L18-Datos!V18)/Datos!V18,(Datos!L18+Datos!AF18-(Datos!V18+Datos!AN18))/(Datos!V18+Datos!AN18))
     ),IF(D_I="SI",(Datos!L18-Datos!V18)/Datos!V18,(Datos!L18+Datos!AF18-(Datos!V18+Datos!AN18))/(Datos!V18+Datos!AN18))," - ")</f>
        <v>0.16627689429373246</v>
      </c>
      <c r="H18" s="355">
        <f>IF(ISNUMBER((Datos!M18-Datos!W18)/Datos!W18),(Datos!M18-Datos!W18)/Datos!W18," - ")</f>
        <v>0.10169491525423729</v>
      </c>
      <c r="I18" s="356">
        <f>IF(ISNUMBER((Tasas!C18-Datos!BE18)/Datos!BE18),(Tasas!C18-Datos!BE18)/Datos!BE18," - ")</f>
        <v>0.47835310186254709</v>
      </c>
      <c r="J18" s="354">
        <f>IF(ISNUMBER((Tasas!D18-Datos!BF18)/Datos!BF18),(Tasas!D18-Datos!BF18)/Datos!BF18," - ")</f>
        <v>0.39649006444442469</v>
      </c>
      <c r="K18" s="357">
        <f>IF(ISNUMBER((Tasas!E18-Datos!BG18)/Datos!BG18),(Tasas!E18-Datos!BG18)/Datos!BG18," - ")</f>
        <v>0.41101535951509754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0.14025537976293431</v>
      </c>
      <c r="E19" s="362">
        <f>IF(ISNUMBER(
   IF(J_V="SI",(Datos!J19-Datos!T19)/Datos!T19,(Datos!J19+Datos!Z19-(Datos!T19+Datos!AH19))/(Datos!T19+Datos!AH19))
     ),IF(J_V="SI",(Datos!J19-Datos!T19)/Datos!T19,(Datos!J19+Datos!Z19-(Datos!T19+Datos!AH19))/(Datos!T19+Datos!AH19))," - ")</f>
        <v>-0.3870075108709975</v>
      </c>
      <c r="F19" s="362">
        <f>IF(ISNUMBER(
   IF(J_V="SI",(Datos!K19-Datos!U19)/Datos!U19,(Datos!K19+Datos!AA19-(Datos!U19+Datos!AI19))/(Datos!U19+Datos!AI19))
     ),IF(J_V="SI",(Datos!K19-Datos!U19)/Datos!U19,(Datos!K19+Datos!AA19-(Datos!U19+Datos!AI19))/(Datos!U19+Datos!AI19))," - ")</f>
        <v>-0.36555645816409421</v>
      </c>
      <c r="G19" s="363">
        <f>IF(ISNUMBER(
   IF(J_V="SI",(Datos!L19-Datos!V19)/Datos!V19,(Datos!L19+Datos!AB19-(Datos!V19+Datos!AJ19))/(Datos!V19+Datos!AJ19))
     ),IF(J_V="SI",(Datos!L19-Datos!V19)/Datos!V19,(Datos!L19+Datos!AB19-(Datos!V19+Datos!AJ19))/(Datos!V19+Datos!AJ19))," - ")</f>
        <v>6.8757710923412735E-2</v>
      </c>
      <c r="H19" s="364">
        <f>IF(ISNUMBER((Datos!M19-Datos!W19)/Datos!W19),(Datos!M19-Datos!W19)/Datos!W19," - ")</f>
        <v>-5.473684210526316E-2</v>
      </c>
      <c r="I19" s="361">
        <f>IF(ISNUMBER((Tasas!C19-Datos!BE19)/Datos!BE19),(Tasas!C19-Datos!BE19)/Datos!BE19," - ")</f>
        <v>0.68455920889464916</v>
      </c>
      <c r="J19" s="362">
        <f>IF(ISNUMBER((Tasas!D19-Datos!BF19)/Datos!BF19),(Tasas!D19-Datos!BF19)/Datos!BF19," - ")</f>
        <v>0.52523014261115275</v>
      </c>
      <c r="K19" s="363">
        <f>IF(ISNUMBER((Tasas!E19-Datos!BG19)/Datos!BG19),(Tasas!E19-Datos!BG19)/Datos!BG19," - ")</f>
        <v>0.56577135733864259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0.13180929922480739</v>
      </c>
      <c r="E21" s="277">
        <f t="shared" si="1"/>
        <v>0.27864896128299038</v>
      </c>
      <c r="F21" s="277">
        <f t="shared" si="1"/>
        <v>0.19642645652649018</v>
      </c>
      <c r="G21" s="278">
        <f t="shared" si="1"/>
        <v>0.11494946376752511</v>
      </c>
      <c r="H21" s="284">
        <f t="shared" si="1"/>
        <v>0.58522492733593845</v>
      </c>
      <c r="I21" s="276">
        <f t="shared" si="1"/>
        <v>0.32327359146139911</v>
      </c>
      <c r="J21" s="277">
        <f t="shared" si="1"/>
        <v>0.34462669716333955</v>
      </c>
      <c r="K21" s="278">
        <f t="shared" si="1"/>
        <v>0.28220401906488374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yDG/N64O73rd4OBawthNZMmnrQqqjHRekdCJVhYPzlxdRfxomR2IOx6iIkt8KtZfqyGBtCaPIjPK2NUanTNYQ==" saltValue="DGpPNPINHsGwf8TSMHpD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